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etat od 2019-10" sheetId="1" r:id="rId1"/>
    <sheet name="etat od 2018-04" sheetId="2" r:id="rId2"/>
    <sheet name="etat od 2015-04" sheetId="3" r:id="rId3"/>
    <sheet name="etat od 2012-04" sheetId="4" r:id="rId4"/>
    <sheet name="etat od 2012-02" sheetId="5" r:id="rId5"/>
    <sheet name="etat 2012-01" sheetId="6" r:id="rId6"/>
  </sheets>
  <definedNames/>
  <calcPr fullCalcOnLoad="1"/>
</workbook>
</file>

<file path=xl/comments1.xml><?xml version="1.0" encoding="utf-8"?>
<comments xmlns="http://schemas.openxmlformats.org/spreadsheetml/2006/main">
  <authors>
    <author>KryS</author>
  </authors>
  <commentList>
    <comment ref="C5" authorId="0">
      <text>
        <r>
          <rPr>
            <b/>
            <sz val="8"/>
            <rFont val="Tahoma"/>
            <family val="2"/>
          </rPr>
          <t>To wpisz kwotę brutto, od której zostaną wyliczone  wartości</t>
        </r>
      </text>
    </comment>
  </commentList>
</comments>
</file>

<file path=xl/comments2.xml><?xml version="1.0" encoding="utf-8"?>
<comments xmlns="http://schemas.openxmlformats.org/spreadsheetml/2006/main">
  <authors>
    <author>KryS</author>
  </authors>
  <commentList>
    <comment ref="C5" authorId="0">
      <text>
        <r>
          <rPr>
            <b/>
            <sz val="8"/>
            <rFont val="Tahoma"/>
            <family val="2"/>
          </rPr>
          <t>To wpisz kwotę brutto, od której zostaną wyliczone  wartości</t>
        </r>
      </text>
    </comment>
  </commentList>
</comments>
</file>

<file path=xl/comments3.xml><?xml version="1.0" encoding="utf-8"?>
<comments xmlns="http://schemas.openxmlformats.org/spreadsheetml/2006/main">
  <authors>
    <author>KryS</author>
  </authors>
  <commentList>
    <comment ref="C5" authorId="0">
      <text>
        <r>
          <rPr>
            <b/>
            <sz val="8"/>
            <rFont val="Tahoma"/>
            <family val="2"/>
          </rPr>
          <t>To wpisz kwotę brutto, od której zostaną wyliczone  wartości</t>
        </r>
      </text>
    </comment>
  </commentList>
</comments>
</file>

<file path=xl/comments4.xml><?xml version="1.0" encoding="utf-8"?>
<comments xmlns="http://schemas.openxmlformats.org/spreadsheetml/2006/main">
  <authors>
    <author>KryS</author>
  </authors>
  <commentList>
    <comment ref="C5" authorId="0">
      <text>
        <r>
          <rPr>
            <b/>
            <sz val="8"/>
            <rFont val="Tahoma"/>
            <family val="2"/>
          </rPr>
          <t>To wpisz kwotę brutto, od której zostaną wyliczone  wartości</t>
        </r>
      </text>
    </comment>
  </commentList>
</comments>
</file>

<file path=xl/comments5.xml><?xml version="1.0" encoding="utf-8"?>
<comments xmlns="http://schemas.openxmlformats.org/spreadsheetml/2006/main">
  <authors>
    <author>KryS</author>
  </authors>
  <commentList>
    <comment ref="C5" authorId="0">
      <text>
        <r>
          <rPr>
            <b/>
            <sz val="8"/>
            <rFont val="Tahoma"/>
            <family val="2"/>
          </rPr>
          <t>To wpisz kwotę brutto, od której zostaną wyliczone  wartości</t>
        </r>
      </text>
    </comment>
  </commentList>
</comments>
</file>

<file path=xl/comments6.xml><?xml version="1.0" encoding="utf-8"?>
<comments xmlns="http://schemas.openxmlformats.org/spreadsheetml/2006/main">
  <authors>
    <author>KryS</author>
  </authors>
  <commentList>
    <comment ref="C5" authorId="0">
      <text>
        <r>
          <rPr>
            <b/>
            <sz val="8"/>
            <rFont val="Tahoma"/>
            <family val="2"/>
          </rPr>
          <t>To wpisz kwotę brutto, od której zostaną wyliczone  wartości</t>
        </r>
      </text>
    </comment>
  </commentList>
</comments>
</file>

<file path=xl/sharedStrings.xml><?xml version="1.0" encoding="utf-8"?>
<sst xmlns="http://schemas.openxmlformats.org/spreadsheetml/2006/main" count="356" uniqueCount="52">
  <si>
    <t>Kwota brutto</t>
  </si>
  <si>
    <t>Wynagrodzenie zasadnicze</t>
  </si>
  <si>
    <t>Dochód</t>
  </si>
  <si>
    <t>Zaliczka na podatek po odjęciu ulgi</t>
  </si>
  <si>
    <t>Kwota do wypłaty pracownikowi</t>
  </si>
  <si>
    <t>Z</t>
  </si>
  <si>
    <t>Suma wszystkich składek ZUS</t>
  </si>
  <si>
    <t>Całkowity koszt wypłaty:</t>
  </si>
  <si>
    <t>z</t>
  </si>
  <si>
    <t>Dla pracownika</t>
  </si>
  <si>
    <t>miejscowego:</t>
  </si>
  <si>
    <t>zamiejscowego:</t>
  </si>
  <si>
    <t>Kwoty ubezpieczenia płacone przez pracodawcę:</t>
  </si>
  <si>
    <t>Ubezpieczenie zdrowotne</t>
  </si>
  <si>
    <t>Ub. Zdr. podlegające odliczeniu</t>
  </si>
  <si>
    <t>Ubezpieczenie chorobowe</t>
  </si>
  <si>
    <t>Ubezpieczenie rentowe</t>
  </si>
  <si>
    <t xml:space="preserve">Ubezpieczenie emerytalne </t>
  </si>
  <si>
    <t xml:space="preserve">Miesięczna ulga na podatek </t>
  </si>
  <si>
    <t>Ubezpieczenie emerytalne</t>
  </si>
  <si>
    <t>Składka na FP</t>
  </si>
  <si>
    <t>WYLICZENIE SKŁADNIKÓW PŁACY</t>
  </si>
  <si>
    <t>Ub. Zdr. do odliczenia całe:</t>
  </si>
  <si>
    <t>Ubezpieczenie zdr. do ZUS</t>
  </si>
  <si>
    <r>
      <t xml:space="preserve">Ubezpieczenie wypadkowe </t>
    </r>
    <r>
      <rPr>
        <vertAlign val="superscript"/>
        <sz val="11"/>
        <rFont val="Arial CE"/>
        <family val="0"/>
      </rPr>
      <t>3)</t>
    </r>
  </si>
  <si>
    <t>1) koszty uzyskania przychodu w przypadku zatrudnienia pracownika u jednego pracodawcy</t>
  </si>
  <si>
    <t xml:space="preserve">    gospodarczej wówczas wynosi ona 0,10%.</t>
  </si>
  <si>
    <t xml:space="preserve">4) w przypadku zatrudnienia pracowników przy działalności statutowej (nie gospodarczej) składki </t>
  </si>
  <si>
    <r>
      <t xml:space="preserve">Zaliczka na podatek doch do zapłaty </t>
    </r>
    <r>
      <rPr>
        <b/>
        <vertAlign val="superscript"/>
        <sz val="11"/>
        <rFont val="Arial CE"/>
        <family val="0"/>
      </rPr>
      <t>2)</t>
    </r>
  </si>
  <si>
    <t xml:space="preserve">           - płaconych ze śr. pracownika</t>
  </si>
  <si>
    <t xml:space="preserve">      w tym: </t>
  </si>
  <si>
    <r>
      <t xml:space="preserve">Składka na FGŚP </t>
    </r>
    <r>
      <rPr>
        <vertAlign val="superscript"/>
        <sz val="11"/>
        <rFont val="Arial CE"/>
        <family val="0"/>
      </rPr>
      <t>4)</t>
    </r>
  </si>
  <si>
    <t xml:space="preserve">    na FGŚP nie odprowadza się, jeśli pracownik jest zatrudniony przy prowadzonej działalności </t>
  </si>
  <si>
    <r>
      <t>Koszty uzyskania przychodu</t>
    </r>
    <r>
      <rPr>
        <vertAlign val="superscript"/>
        <sz val="9"/>
        <rFont val="Arial CE"/>
        <family val="0"/>
      </rPr>
      <t xml:space="preserve"> 1</t>
    </r>
    <r>
      <rPr>
        <vertAlign val="superscript"/>
        <sz val="10"/>
        <rFont val="Arial CE"/>
        <family val="0"/>
      </rPr>
      <t>)</t>
    </r>
  </si>
  <si>
    <t xml:space="preserve">    --&gt; do uzyskanego w roku dochodu w wysokości 85'528 zł.</t>
  </si>
  <si>
    <t xml:space="preserve">2) liczydło uwzględnia kwotę wolną i podstawową stawkę podatku od os. fizycznych - 18% </t>
  </si>
  <si>
    <t>3) składka obowiązująca w jednostkach zatrudniających do 9 pracowników - 1,67 od 01.04.2009 r.</t>
  </si>
  <si>
    <t xml:space="preserve">           - płaconych ze śr. pracodawcy</t>
  </si>
  <si>
    <r>
      <t xml:space="preserve">Zaliczka na podatek </t>
    </r>
    <r>
      <rPr>
        <vertAlign val="superscript"/>
        <sz val="11"/>
        <rFont val="Arial CE"/>
        <family val="0"/>
      </rPr>
      <t>2)</t>
    </r>
  </si>
  <si>
    <t>obowiązujące w 2011 roku i styczniu 2012 roku</t>
  </si>
  <si>
    <t>obowiązujące od lutego 2012 roku</t>
  </si>
  <si>
    <t>obowiązujące od kwietnia 2012 roku</t>
  </si>
  <si>
    <t>3) składka obowiązująca w jednostkach zatrudniających do 9 pracowników - 1,93 od 01.04.2012 r.</t>
  </si>
  <si>
    <t>obowiązujące od kwietnia 2015 roku</t>
  </si>
  <si>
    <t>3) składka obowiązująca w jednostkach zatrudniających do 9 pracowników - 1,80 od 01.04.2015 r.</t>
  </si>
  <si>
    <t>obowiązujące od kwietnia 2018 roku</t>
  </si>
  <si>
    <t>3) składka obowiązująca w jednostkach zatrudniających do 9 pracowników - 1,67 od 01.04.2018 r.</t>
  </si>
  <si>
    <r>
      <t xml:space="preserve">Podatek przed odliczeniami </t>
    </r>
    <r>
      <rPr>
        <vertAlign val="superscript"/>
        <sz val="11"/>
        <rFont val="Arial CE"/>
        <family val="0"/>
      </rPr>
      <t>2)</t>
    </r>
  </si>
  <si>
    <t>2) liczydło uwzględnia kwotę wolną i podstawową stawkę podatku od os. fizycznych - 17% od 01-10-2019</t>
  </si>
  <si>
    <t>250/300</t>
  </si>
  <si>
    <t>obowiązujące od października 2019 roku</t>
  </si>
  <si>
    <t xml:space="preserve">    od 01-10 do 31-12-2019 na żądanie pracownika można zastopować stawkę 17,75%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</si>
</sst>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2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Tahoma"/>
      <family val="2"/>
    </font>
    <font>
      <sz val="9"/>
      <name val="Arial CE"/>
      <family val="2"/>
    </font>
    <font>
      <vertAlign val="superscript"/>
      <sz val="11"/>
      <name val="Arial CE"/>
      <family val="0"/>
    </font>
    <font>
      <b/>
      <vertAlign val="superscript"/>
      <sz val="11"/>
      <name val="Arial CE"/>
      <family val="0"/>
    </font>
    <font>
      <sz val="9"/>
      <color indexed="12"/>
      <name val="Arial CE"/>
      <family val="0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3" fontId="1" fillId="33" borderId="10" xfId="42" applyFont="1" applyFill="1" applyBorder="1" applyAlignment="1">
      <alignment/>
    </xf>
    <xf numFmtId="43" fontId="0" fillId="33" borderId="10" xfId="42" applyFill="1" applyBorder="1" applyAlignment="1">
      <alignment/>
    </xf>
    <xf numFmtId="0" fontId="0" fillId="0" borderId="11" xfId="0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42" applyFont="1" applyFill="1" applyBorder="1" applyAlignment="1">
      <alignment horizontal="center"/>
    </xf>
    <xf numFmtId="43" fontId="0" fillId="33" borderId="10" xfId="0" applyNumberForma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4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54" applyNumberFormat="1" applyFont="1" applyBorder="1" applyAlignment="1">
      <alignment horizontal="right"/>
    </xf>
    <xf numFmtId="10" fontId="0" fillId="0" borderId="0" xfId="54" applyNumberFormat="1" applyFont="1" applyFill="1" applyBorder="1" applyAlignment="1">
      <alignment/>
    </xf>
    <xf numFmtId="10" fontId="0" fillId="0" borderId="0" xfId="54" applyNumberFormat="1" applyFont="1" applyAlignment="1">
      <alignment/>
    </xf>
    <xf numFmtId="10" fontId="0" fillId="0" borderId="0" xfId="54" applyNumberFormat="1" applyFont="1" applyBorder="1" applyAlignment="1">
      <alignment/>
    </xf>
    <xf numFmtId="10" fontId="2" fillId="0" borderId="0" xfId="54" applyNumberFormat="1" applyFont="1" applyAlignment="1" quotePrefix="1">
      <alignment/>
    </xf>
    <xf numFmtId="43" fontId="0" fillId="33" borderId="13" xfId="42" applyFill="1" applyBorder="1" applyAlignment="1">
      <alignment/>
    </xf>
    <xf numFmtId="0" fontId="0" fillId="0" borderId="14" xfId="0" applyBorder="1" applyAlignment="1">
      <alignment/>
    </xf>
    <xf numFmtId="10" fontId="0" fillId="0" borderId="13" xfId="54" applyNumberFormat="1" applyFont="1" applyBorder="1" applyAlignment="1">
      <alignment/>
    </xf>
    <xf numFmtId="43" fontId="0" fillId="33" borderId="13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0" fontId="0" fillId="0" borderId="15" xfId="0" applyBorder="1" applyAlignment="1">
      <alignment/>
    </xf>
    <xf numFmtId="10" fontId="0" fillId="0" borderId="16" xfId="54" applyNumberFormat="1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3" xfId="54" applyNumberFormat="1" applyFont="1" applyBorder="1" applyAlignment="1">
      <alignment/>
    </xf>
    <xf numFmtId="0" fontId="0" fillId="0" borderId="17" xfId="0" applyBorder="1" applyAlignment="1">
      <alignment/>
    </xf>
    <xf numFmtId="10" fontId="0" fillId="0" borderId="18" xfId="54" applyNumberFormat="1" applyFont="1" applyBorder="1" applyAlignment="1">
      <alignment/>
    </xf>
    <xf numFmtId="0" fontId="4" fillId="0" borderId="0" xfId="0" applyFont="1" applyBorder="1" applyAlignment="1">
      <alignment/>
    </xf>
    <xf numFmtId="43" fontId="0" fillId="34" borderId="13" xfId="42" applyFill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4" xfId="0" applyFont="1" applyBorder="1" applyAlignment="1">
      <alignment/>
    </xf>
    <xf numFmtId="10" fontId="0" fillId="0" borderId="13" xfId="54" applyNumberFormat="1" applyFont="1" applyBorder="1" applyAlignment="1">
      <alignment/>
    </xf>
    <xf numFmtId="43" fontId="0" fillId="33" borderId="13" xfId="4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3" fontId="0" fillId="33" borderId="10" xfId="42" applyFont="1" applyFill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 quotePrefix="1">
      <alignment/>
    </xf>
    <xf numFmtId="0" fontId="0" fillId="0" borderId="14" xfId="0" applyFont="1" applyBorder="1" applyAlignment="1">
      <alignment/>
    </xf>
    <xf numFmtId="43" fontId="0" fillId="33" borderId="13" xfId="4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3" fontId="0" fillId="33" borderId="10" xfId="42" applyFont="1" applyFill="1" applyBorder="1" applyAlignment="1">
      <alignment/>
    </xf>
    <xf numFmtId="0" fontId="0" fillId="0" borderId="17" xfId="0" applyFont="1" applyBorder="1" applyAlignment="1">
      <alignment/>
    </xf>
    <xf numFmtId="4" fontId="0" fillId="0" borderId="18" xfId="60" applyNumberFormat="1" applyFont="1" applyBorder="1" applyAlignment="1">
      <alignment/>
    </xf>
    <xf numFmtId="43" fontId="0" fillId="0" borderId="0" xfId="0" applyNumberFormat="1" applyFont="1" applyFill="1" applyAlignment="1">
      <alignment/>
    </xf>
    <xf numFmtId="4" fontId="0" fillId="0" borderId="13" xfId="60" applyNumberFormat="1" applyFont="1" applyBorder="1" applyAlignment="1">
      <alignment horizontal="right"/>
    </xf>
    <xf numFmtId="4" fontId="0" fillId="0" borderId="18" xfId="60" applyNumberFormat="1" applyFon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0" fontId="0" fillId="0" borderId="0" xfId="54" applyNumberFormat="1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tabSelected="1" zoomScalePageLayoutView="0" workbookViewId="0" topLeftCell="A9">
      <selection activeCell="A41" sqref="A41"/>
    </sheetView>
  </sheetViews>
  <sheetFormatPr defaultColWidth="8.796875" defaultRowHeight="15"/>
  <cols>
    <col min="1" max="1" width="28.09765625" style="0" customWidth="1"/>
    <col min="2" max="2" width="7.8984375" style="18" customWidth="1"/>
    <col min="3" max="3" width="12.796875" style="0" customWidth="1"/>
    <col min="4" max="4" width="2" style="0" hidden="1" customWidth="1"/>
    <col min="5" max="5" width="2.796875" style="6" customWidth="1"/>
    <col min="6" max="6" width="12.19921875" style="0" customWidth="1"/>
    <col min="7" max="7" width="1.796875" style="0" hidden="1" customWidth="1"/>
    <col min="8" max="8" width="5.09765625" style="0" customWidth="1"/>
    <col min="9" max="9" width="10.59765625" style="0" bestFit="1" customWidth="1"/>
  </cols>
  <sheetData>
    <row r="1" ht="15"/>
    <row r="2" spans="1:3" ht="15">
      <c r="A2" s="59" t="s">
        <v>21</v>
      </c>
      <c r="B2" s="60"/>
      <c r="C2" s="60"/>
    </row>
    <row r="3" spans="1:3" ht="15">
      <c r="A3" s="61" t="s">
        <v>50</v>
      </c>
      <c r="B3" s="61"/>
      <c r="C3" s="61"/>
    </row>
    <row r="4" ht="15"/>
    <row r="5" spans="1:6" ht="15.75">
      <c r="A5" s="28" t="s">
        <v>0</v>
      </c>
      <c r="B5" s="29"/>
      <c r="C5" s="33">
        <v>3000</v>
      </c>
      <c r="F5" s="5"/>
    </row>
    <row r="6" spans="1:6" ht="15">
      <c r="A6" s="9" t="s">
        <v>9</v>
      </c>
      <c r="B6" s="16"/>
      <c r="C6" s="8" t="s">
        <v>10</v>
      </c>
      <c r="F6" s="10" t="s">
        <v>11</v>
      </c>
    </row>
    <row r="7" spans="1:7" ht="15">
      <c r="A7" s="26" t="s">
        <v>17</v>
      </c>
      <c r="B7" s="27">
        <v>0.0976</v>
      </c>
      <c r="C7" s="21">
        <f>ROUND(($C$5*B7),2)</f>
        <v>292.8</v>
      </c>
      <c r="D7" t="s">
        <v>5</v>
      </c>
      <c r="F7" s="2">
        <f>ROUND(($C$5*B7),2)</f>
        <v>292.8</v>
      </c>
      <c r="G7" t="s">
        <v>8</v>
      </c>
    </row>
    <row r="8" spans="1:7" ht="15">
      <c r="A8" s="49" t="s">
        <v>16</v>
      </c>
      <c r="B8" s="23">
        <f>3.5%-2%</f>
        <v>0.015000000000000003</v>
      </c>
      <c r="C8" s="50">
        <f>ROUND(($C$5*B8),2)</f>
        <v>45</v>
      </c>
      <c r="D8" s="51" t="s">
        <v>5</v>
      </c>
      <c r="E8" s="52"/>
      <c r="F8" s="53">
        <f>ROUND(($C$5*B8),2)</f>
        <v>45</v>
      </c>
      <c r="G8" t="s">
        <v>8</v>
      </c>
    </row>
    <row r="9" spans="1:9" ht="15">
      <c r="A9" s="54" t="s">
        <v>15</v>
      </c>
      <c r="B9" s="31">
        <v>0.0245</v>
      </c>
      <c r="C9" s="50">
        <f>ROUND(($C$5*B9),2)</f>
        <v>73.5</v>
      </c>
      <c r="D9" s="51" t="s">
        <v>5</v>
      </c>
      <c r="E9" s="52"/>
      <c r="F9" s="53">
        <f>ROUND(($C$5*B9),2)</f>
        <v>73.5</v>
      </c>
      <c r="G9" t="s">
        <v>8</v>
      </c>
      <c r="I9" s="47"/>
    </row>
    <row r="10" spans="1:9" ht="15">
      <c r="A10" s="49" t="s">
        <v>1</v>
      </c>
      <c r="B10" s="23"/>
      <c r="C10" s="50">
        <f>SUM($C5-C7-C8-C9)</f>
        <v>2588.7</v>
      </c>
      <c r="D10" s="51"/>
      <c r="E10" s="52"/>
      <c r="F10" s="53">
        <f>SUM($C5-F7-F8-F9)</f>
        <v>2588.7</v>
      </c>
      <c r="I10" s="47"/>
    </row>
    <row r="11" spans="1:7" ht="15">
      <c r="A11" s="54" t="s">
        <v>33</v>
      </c>
      <c r="B11" s="58" t="s">
        <v>49</v>
      </c>
      <c r="C11" s="50">
        <v>250</v>
      </c>
      <c r="D11" s="56"/>
      <c r="E11" s="52"/>
      <c r="F11" s="53">
        <v>300</v>
      </c>
      <c r="G11" s="5"/>
    </row>
    <row r="12" spans="1:6" ht="15">
      <c r="A12" s="22" t="s">
        <v>2</v>
      </c>
      <c r="B12" s="23"/>
      <c r="C12" s="21">
        <f>ROUND(IF((C10-C11)&gt;0,(C10-C11),0),0)</f>
        <v>2339</v>
      </c>
      <c r="F12" s="2">
        <f>ROUND(IF((F10-F11)&gt;0,(F10-F11),0),0)</f>
        <v>2289</v>
      </c>
    </row>
    <row r="13" spans="1:6" ht="16.5">
      <c r="A13" s="54" t="s">
        <v>47</v>
      </c>
      <c r="B13" s="31">
        <v>0.17</v>
      </c>
      <c r="C13" s="50">
        <f>SUM(C12*B13)</f>
        <v>397.63000000000005</v>
      </c>
      <c r="D13" s="51"/>
      <c r="E13" s="52"/>
      <c r="F13" s="53">
        <f>SUM(F12*B13)</f>
        <v>389.13000000000005</v>
      </c>
    </row>
    <row r="14" spans="1:9" ht="15">
      <c r="A14" s="49" t="s">
        <v>18</v>
      </c>
      <c r="B14" s="57">
        <v>43.76</v>
      </c>
      <c r="C14" s="50">
        <f>B14</f>
        <v>43.76</v>
      </c>
      <c r="D14" s="51"/>
      <c r="E14" s="52"/>
      <c r="F14" s="53">
        <f>B14</f>
        <v>43.76</v>
      </c>
      <c r="I14" s="47"/>
    </row>
    <row r="15" spans="1:9" ht="15">
      <c r="A15" s="30" t="s">
        <v>3</v>
      </c>
      <c r="B15" s="31"/>
      <c r="C15" s="4">
        <f>IF(C14&lt;C13,C13-C14,0)</f>
        <v>353.87000000000006</v>
      </c>
      <c r="D15" s="36"/>
      <c r="E15" s="37"/>
      <c r="F15" s="4">
        <f>IF(F14&lt;F13,F13-F14,0)</f>
        <v>345.37000000000006</v>
      </c>
      <c r="I15" s="47"/>
    </row>
    <row r="16" spans="1:7" ht="15">
      <c r="A16" s="41" t="s">
        <v>13</v>
      </c>
      <c r="B16" s="42">
        <v>0.09</v>
      </c>
      <c r="C16" s="43">
        <f>ROUND(C10*$B16,2)</f>
        <v>232.98</v>
      </c>
      <c r="D16" s="44"/>
      <c r="E16" s="45"/>
      <c r="F16" s="46">
        <f>ROUND(F10*$B16,2)</f>
        <v>232.98</v>
      </c>
      <c r="G16" t="s">
        <v>8</v>
      </c>
    </row>
    <row r="17" spans="1:9" ht="15.75">
      <c r="A17" s="28" t="s">
        <v>23</v>
      </c>
      <c r="B17" s="23">
        <v>0.09</v>
      </c>
      <c r="C17" s="25">
        <f>IF(C16&gt;C15,C15,C16)</f>
        <v>232.98</v>
      </c>
      <c r="D17" s="34" t="s">
        <v>5</v>
      </c>
      <c r="E17" s="35"/>
      <c r="F17" s="1">
        <f>IF(F16&gt;F15,F15,F16)</f>
        <v>232.98</v>
      </c>
      <c r="I17" s="47"/>
    </row>
    <row r="18" spans="1:6" ht="15.75" hidden="1">
      <c r="A18" s="30" t="s">
        <v>22</v>
      </c>
      <c r="B18" s="31">
        <v>0.0775</v>
      </c>
      <c r="C18" s="21">
        <f>SUM(C10*$B19)</f>
        <v>200.62425</v>
      </c>
      <c r="D18" s="34"/>
      <c r="E18" s="35"/>
      <c r="F18" s="2">
        <f>SUM(F10*$B19)</f>
        <v>200.62425</v>
      </c>
    </row>
    <row r="19" spans="1:9" ht="15">
      <c r="A19" s="30" t="s">
        <v>14</v>
      </c>
      <c r="B19" s="31">
        <v>0.0775</v>
      </c>
      <c r="C19" s="24">
        <f>IF(C18&lt;C15,C18,C15)</f>
        <v>200.62425</v>
      </c>
      <c r="D19" s="36"/>
      <c r="E19" s="37"/>
      <c r="F19" s="4">
        <f>IF(F18&lt;F15,F18,F15)</f>
        <v>200.62425</v>
      </c>
      <c r="I19" s="47"/>
    </row>
    <row r="20" spans="1:6" ht="17.25">
      <c r="A20" s="28" t="s">
        <v>28</v>
      </c>
      <c r="B20" s="23"/>
      <c r="C20" s="25">
        <f>ROUND((C15-C19),0)</f>
        <v>153</v>
      </c>
      <c r="D20" s="34"/>
      <c r="E20" s="35"/>
      <c r="F20" s="1">
        <f>ROUND((F15-F19),0)</f>
        <v>145</v>
      </c>
    </row>
    <row r="21" spans="1:6" ht="15.75">
      <c r="A21" s="28" t="s">
        <v>4</v>
      </c>
      <c r="B21" s="29"/>
      <c r="C21" s="25">
        <f>SUM($C5-C7-C8-C9-C17-C20)</f>
        <v>2202.72</v>
      </c>
      <c r="F21" s="1">
        <f>SUM($C5-F7-F8-F9-F17-F20)</f>
        <v>2210.72</v>
      </c>
    </row>
    <row r="22" spans="1:2" ht="15">
      <c r="A22" s="3" t="s">
        <v>12</v>
      </c>
      <c r="B22" s="17"/>
    </row>
    <row r="23" spans="1:7" ht="15">
      <c r="A23" s="22" t="s">
        <v>19</v>
      </c>
      <c r="B23" s="23">
        <v>0.0976</v>
      </c>
      <c r="C23" s="21">
        <f>ROUND(($C$5*B23),2)</f>
        <v>292.8</v>
      </c>
      <c r="D23" t="s">
        <v>5</v>
      </c>
      <c r="F23" s="2">
        <f>ROUND(($C$5*B23),2)</f>
        <v>292.8</v>
      </c>
      <c r="G23" t="s">
        <v>8</v>
      </c>
    </row>
    <row r="24" spans="1:7" ht="15">
      <c r="A24" s="54" t="s">
        <v>16</v>
      </c>
      <c r="B24" s="31">
        <f>6.5%</f>
        <v>0.065</v>
      </c>
      <c r="C24" s="50">
        <f>ROUND(($C$5*B24),2)</f>
        <v>195</v>
      </c>
      <c r="D24" s="51" t="s">
        <v>5</v>
      </c>
      <c r="E24" s="52"/>
      <c r="F24" s="53">
        <f>ROUND(($C$5*B24),2)</f>
        <v>195</v>
      </c>
      <c r="G24" t="s">
        <v>8</v>
      </c>
    </row>
    <row r="25" spans="1:7" ht="16.5">
      <c r="A25" s="22" t="s">
        <v>24</v>
      </c>
      <c r="B25" s="23">
        <v>0.0167</v>
      </c>
      <c r="C25" s="21">
        <f>ROUND(($C$5*B25),2)</f>
        <v>50.1</v>
      </c>
      <c r="D25" t="s">
        <v>5</v>
      </c>
      <c r="F25" s="2">
        <f>ROUND(($C$5*B25),2)</f>
        <v>50.1</v>
      </c>
      <c r="G25" t="s">
        <v>8</v>
      </c>
    </row>
    <row r="26" spans="1:7" ht="15">
      <c r="A26" s="30" t="s">
        <v>20</v>
      </c>
      <c r="B26" s="31">
        <v>0.0245</v>
      </c>
      <c r="C26" s="21">
        <f>ROUND(($C$5*B26),2)</f>
        <v>73.5</v>
      </c>
      <c r="D26" t="s">
        <v>5</v>
      </c>
      <c r="F26" s="2">
        <f>ROUND(($C$5*B26),2)</f>
        <v>73.5</v>
      </c>
      <c r="G26" t="s">
        <v>8</v>
      </c>
    </row>
    <row r="27" spans="1:7" ht="16.5">
      <c r="A27" s="22" t="s">
        <v>31</v>
      </c>
      <c r="B27" s="23">
        <v>0</v>
      </c>
      <c r="C27" s="21">
        <f>ROUND(($C$5*B27),2)</f>
        <v>0</v>
      </c>
      <c r="D27" t="s">
        <v>5</v>
      </c>
      <c r="F27" s="2">
        <f>ROUND(($C$5*B27),2)</f>
        <v>0</v>
      </c>
      <c r="G27" t="s">
        <v>8</v>
      </c>
    </row>
    <row r="29" spans="1:7" ht="15">
      <c r="A29" t="s">
        <v>6</v>
      </c>
      <c r="C29" s="11">
        <f>SUMIF(D7:D27,D29,C7:C27)</f>
        <v>1255.6799999999998</v>
      </c>
      <c r="D29" t="s">
        <v>5</v>
      </c>
      <c r="F29" s="11">
        <f>SUMIF(G7:G27,G29,F7:F27)</f>
        <v>1255.6799999999998</v>
      </c>
      <c r="G29" t="s">
        <v>8</v>
      </c>
    </row>
    <row r="30" spans="1:6" ht="15">
      <c r="A30" t="s">
        <v>30</v>
      </c>
      <c r="C30" s="39"/>
      <c r="F30" s="40"/>
    </row>
    <row r="31" spans="1:6" ht="15">
      <c r="A31" t="s">
        <v>29</v>
      </c>
      <c r="C31" s="11">
        <f>C7+C8+C9+C17</f>
        <v>644.28</v>
      </c>
      <c r="F31" s="11">
        <f>F7+F8+F9+F17</f>
        <v>644.28</v>
      </c>
    </row>
    <row r="32" spans="1:6" ht="15">
      <c r="A32" t="s">
        <v>37</v>
      </c>
      <c r="C32" s="11">
        <f>C23+C24+C25+C26+C27</f>
        <v>611.4</v>
      </c>
      <c r="F32" s="11">
        <f>F23+F24+F25+F26+F27</f>
        <v>611.4</v>
      </c>
    </row>
    <row r="34" spans="1:6" ht="15.75">
      <c r="A34" t="s">
        <v>7</v>
      </c>
      <c r="C34" s="12">
        <f>SUM(C5+C23+C24+C25+C26+C27)</f>
        <v>3611.4</v>
      </c>
      <c r="F34" s="12">
        <f>SUM(C5+F23+F24+F25+F26+F27)</f>
        <v>3611.4</v>
      </c>
    </row>
    <row r="35" spans="3:6" ht="15.75">
      <c r="C35" s="14"/>
      <c r="D35" s="15"/>
      <c r="E35" s="7"/>
      <c r="F35" s="14"/>
    </row>
    <row r="36" spans="3:6" ht="15.75">
      <c r="C36" s="14"/>
      <c r="D36" s="15"/>
      <c r="E36" s="7"/>
      <c r="F36" s="14"/>
    </row>
    <row r="37" spans="1:6" ht="15.75">
      <c r="A37" s="13"/>
      <c r="C37" s="14"/>
      <c r="D37" s="15"/>
      <c r="E37" s="7"/>
      <c r="F37" s="14"/>
    </row>
    <row r="38" spans="1:2" ht="15">
      <c r="A38" s="32" t="s">
        <v>25</v>
      </c>
      <c r="B38" s="19"/>
    </row>
    <row r="39" spans="1:2" ht="15">
      <c r="A39" s="32" t="s">
        <v>48</v>
      </c>
      <c r="B39" s="20"/>
    </row>
    <row r="40" spans="1:2" ht="15">
      <c r="A40" s="32" t="s">
        <v>34</v>
      </c>
      <c r="B40" s="20"/>
    </row>
    <row r="41" spans="1:2" ht="15">
      <c r="A41" s="32" t="s">
        <v>51</v>
      </c>
      <c r="B41" s="20"/>
    </row>
    <row r="42" ht="15">
      <c r="A42" s="38" t="s">
        <v>46</v>
      </c>
    </row>
    <row r="43" ht="15">
      <c r="A43" s="38" t="s">
        <v>27</v>
      </c>
    </row>
    <row r="44" ht="13.5" customHeight="1">
      <c r="A44" s="38" t="s">
        <v>32</v>
      </c>
    </row>
    <row r="45" ht="13.5" customHeight="1">
      <c r="A45" s="38" t="s">
        <v>26</v>
      </c>
    </row>
    <row r="46" ht="15">
      <c r="A46" s="48"/>
    </row>
    <row r="47" ht="15">
      <c r="A47" s="38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PageLayoutView="0" workbookViewId="0" topLeftCell="A1">
      <selection activeCell="C32" sqref="C32"/>
    </sheetView>
  </sheetViews>
  <sheetFormatPr defaultColWidth="8.796875" defaultRowHeight="15"/>
  <cols>
    <col min="1" max="1" width="28.09765625" style="0" customWidth="1"/>
    <col min="2" max="2" width="7.8984375" style="18" customWidth="1"/>
    <col min="3" max="3" width="12.796875" style="0" customWidth="1"/>
    <col min="4" max="4" width="2" style="0" hidden="1" customWidth="1"/>
    <col min="5" max="5" width="2.796875" style="6" customWidth="1"/>
    <col min="6" max="6" width="12.19921875" style="0" customWidth="1"/>
    <col min="7" max="7" width="1.796875" style="0" hidden="1" customWidth="1"/>
    <col min="8" max="8" width="5.09765625" style="0" customWidth="1"/>
    <col min="9" max="9" width="10.59765625" style="0" bestFit="1" customWidth="1"/>
  </cols>
  <sheetData>
    <row r="1" ht="15"/>
    <row r="2" spans="1:3" ht="15">
      <c r="A2" s="59" t="s">
        <v>21</v>
      </c>
      <c r="B2" s="60"/>
      <c r="C2" s="60"/>
    </row>
    <row r="3" spans="1:3" ht="15">
      <c r="A3" s="61" t="s">
        <v>45</v>
      </c>
      <c r="B3" s="61"/>
      <c r="C3" s="61"/>
    </row>
    <row r="4" ht="15"/>
    <row r="5" spans="1:6" ht="15.75">
      <c r="A5" s="28" t="s">
        <v>0</v>
      </c>
      <c r="B5" s="29"/>
      <c r="C5" s="33">
        <v>2500</v>
      </c>
      <c r="F5" s="5"/>
    </row>
    <row r="6" spans="1:6" ht="15">
      <c r="A6" s="9" t="s">
        <v>9</v>
      </c>
      <c r="B6" s="16"/>
      <c r="C6" s="8" t="s">
        <v>10</v>
      </c>
      <c r="F6" s="10" t="s">
        <v>11</v>
      </c>
    </row>
    <row r="7" spans="1:7" ht="15">
      <c r="A7" s="26" t="s">
        <v>17</v>
      </c>
      <c r="B7" s="27">
        <v>0.0976</v>
      </c>
      <c r="C7" s="21">
        <f>ROUND(($C$5*B7),2)</f>
        <v>244</v>
      </c>
      <c r="D7" t="s">
        <v>5</v>
      </c>
      <c r="F7" s="2">
        <f>ROUND(($C$5*B7),2)</f>
        <v>244</v>
      </c>
      <c r="G7" t="s">
        <v>8</v>
      </c>
    </row>
    <row r="8" spans="1:7" ht="15">
      <c r="A8" s="49" t="s">
        <v>16</v>
      </c>
      <c r="B8" s="23">
        <f>3.5%-2%</f>
        <v>0.015000000000000003</v>
      </c>
      <c r="C8" s="50">
        <f>ROUND(($C$5*B8),2)</f>
        <v>37.5</v>
      </c>
      <c r="D8" s="51" t="s">
        <v>5</v>
      </c>
      <c r="E8" s="52"/>
      <c r="F8" s="53">
        <f>ROUND(($C$5*B8),2)</f>
        <v>37.5</v>
      </c>
      <c r="G8" t="s">
        <v>8</v>
      </c>
    </row>
    <row r="9" spans="1:9" ht="15">
      <c r="A9" s="54" t="s">
        <v>15</v>
      </c>
      <c r="B9" s="31">
        <v>0.0245</v>
      </c>
      <c r="C9" s="50">
        <f>ROUND(($C$5*B9),2)</f>
        <v>61.25</v>
      </c>
      <c r="D9" s="51" t="s">
        <v>5</v>
      </c>
      <c r="E9" s="52"/>
      <c r="F9" s="53">
        <f>ROUND(($C$5*B9),2)</f>
        <v>61.25</v>
      </c>
      <c r="G9" t="s">
        <v>8</v>
      </c>
      <c r="I9" s="47"/>
    </row>
    <row r="10" spans="1:9" ht="15">
      <c r="A10" s="49" t="s">
        <v>1</v>
      </c>
      <c r="B10" s="23"/>
      <c r="C10" s="50">
        <f>SUM($C5-C7-C8-C9)</f>
        <v>2157.25</v>
      </c>
      <c r="D10" s="51"/>
      <c r="E10" s="52"/>
      <c r="F10" s="53">
        <f>SUM($C5-F7-F8-F9)</f>
        <v>2157.25</v>
      </c>
      <c r="I10" s="47"/>
    </row>
    <row r="11" spans="1:7" ht="15">
      <c r="A11" s="54" t="s">
        <v>33</v>
      </c>
      <c r="B11" s="55">
        <v>111.25</v>
      </c>
      <c r="C11" s="50">
        <f>B11</f>
        <v>111.25</v>
      </c>
      <c r="D11" s="56"/>
      <c r="E11" s="52"/>
      <c r="F11" s="53">
        <f>ROUND(B11*1.25,2)</f>
        <v>139.06</v>
      </c>
      <c r="G11" s="5"/>
    </row>
    <row r="12" spans="1:6" ht="15">
      <c r="A12" s="22" t="s">
        <v>2</v>
      </c>
      <c r="B12" s="23"/>
      <c r="C12" s="21">
        <f>ROUND(IF((C10-C11)&gt;0,(C10-C11),0),0)</f>
        <v>2046</v>
      </c>
      <c r="F12" s="2">
        <f>ROUND(IF((F10-F11)&gt;0,(F10-F11),0),0)</f>
        <v>2018</v>
      </c>
    </row>
    <row r="13" spans="1:6" ht="16.5">
      <c r="A13" s="54" t="s">
        <v>47</v>
      </c>
      <c r="B13" s="31">
        <v>0.18</v>
      </c>
      <c r="C13" s="50">
        <f>SUM(C12*B13)</f>
        <v>368.28</v>
      </c>
      <c r="D13" s="51"/>
      <c r="E13" s="52"/>
      <c r="F13" s="53">
        <f>SUM(F12*B13)</f>
        <v>363.24</v>
      </c>
    </row>
    <row r="14" spans="1:9" ht="15">
      <c r="A14" s="49" t="s">
        <v>18</v>
      </c>
      <c r="B14" s="57">
        <v>46.33</v>
      </c>
      <c r="C14" s="50">
        <f>B14</f>
        <v>46.33</v>
      </c>
      <c r="D14" s="51"/>
      <c r="E14" s="52"/>
      <c r="F14" s="53">
        <f>B14</f>
        <v>46.33</v>
      </c>
      <c r="I14" s="47"/>
    </row>
    <row r="15" spans="1:9" ht="15">
      <c r="A15" s="30" t="s">
        <v>3</v>
      </c>
      <c r="B15" s="31"/>
      <c r="C15" s="4">
        <f>IF(C14&lt;C13,C13-C14,0)</f>
        <v>321.95</v>
      </c>
      <c r="D15" s="36"/>
      <c r="E15" s="37"/>
      <c r="F15" s="4">
        <f>IF(F14&lt;F13,F13-F14,0)</f>
        <v>316.91</v>
      </c>
      <c r="I15" s="47"/>
    </row>
    <row r="16" spans="1:7" ht="15">
      <c r="A16" s="41" t="s">
        <v>13</v>
      </c>
      <c r="B16" s="42">
        <v>0.09</v>
      </c>
      <c r="C16" s="43">
        <f>ROUND(C10*$B16,2)</f>
        <v>194.15</v>
      </c>
      <c r="D16" s="44"/>
      <c r="E16" s="45"/>
      <c r="F16" s="46">
        <f>ROUND(F10*$B16,2)</f>
        <v>194.15</v>
      </c>
      <c r="G16" t="s">
        <v>8</v>
      </c>
    </row>
    <row r="17" spans="1:9" ht="15.75">
      <c r="A17" s="28" t="s">
        <v>23</v>
      </c>
      <c r="B17" s="23">
        <v>0.09</v>
      </c>
      <c r="C17" s="25">
        <f>IF(C16&gt;C15,C15,C16)</f>
        <v>194.15</v>
      </c>
      <c r="D17" s="34" t="s">
        <v>5</v>
      </c>
      <c r="E17" s="35"/>
      <c r="F17" s="1">
        <f>IF(F16&gt;F15,F15,F16)</f>
        <v>194.15</v>
      </c>
      <c r="I17" s="47"/>
    </row>
    <row r="18" spans="1:6" ht="15.75" hidden="1">
      <c r="A18" s="30" t="s">
        <v>22</v>
      </c>
      <c r="B18" s="31">
        <v>0.0775</v>
      </c>
      <c r="C18" s="21">
        <f>SUM(C10*$B19)</f>
        <v>167.186875</v>
      </c>
      <c r="D18" s="34"/>
      <c r="E18" s="35"/>
      <c r="F18" s="2">
        <f>SUM(F10*$B19)</f>
        <v>167.186875</v>
      </c>
    </row>
    <row r="19" spans="1:9" ht="15">
      <c r="A19" s="30" t="s">
        <v>14</v>
      </c>
      <c r="B19" s="31">
        <v>0.0775</v>
      </c>
      <c r="C19" s="24">
        <f>IF(C18&lt;C15,C18,C15)</f>
        <v>167.186875</v>
      </c>
      <c r="D19" s="36"/>
      <c r="E19" s="37"/>
      <c r="F19" s="4">
        <f>IF(F18&lt;F15,F18,F15)</f>
        <v>167.186875</v>
      </c>
      <c r="I19" s="47"/>
    </row>
    <row r="20" spans="1:6" ht="17.25">
      <c r="A20" s="28" t="s">
        <v>28</v>
      </c>
      <c r="B20" s="23"/>
      <c r="C20" s="25">
        <f>ROUND((C15-C19),0)</f>
        <v>155</v>
      </c>
      <c r="D20" s="34"/>
      <c r="E20" s="35"/>
      <c r="F20" s="1">
        <f>ROUND((F15-F19),0)</f>
        <v>150</v>
      </c>
    </row>
    <row r="21" spans="1:6" ht="15.75">
      <c r="A21" s="28" t="s">
        <v>4</v>
      </c>
      <c r="B21" s="29"/>
      <c r="C21" s="25">
        <f>SUM($C5-C7-C8-C9-C17-C20)</f>
        <v>1808.1</v>
      </c>
      <c r="F21" s="1">
        <f>SUM($C5-F7-F8-F9-F17-F20)</f>
        <v>1813.1</v>
      </c>
    </row>
    <row r="22" spans="1:2" ht="15">
      <c r="A22" s="3" t="s">
        <v>12</v>
      </c>
      <c r="B22" s="17"/>
    </row>
    <row r="23" spans="1:7" ht="15">
      <c r="A23" s="22" t="s">
        <v>19</v>
      </c>
      <c r="B23" s="23">
        <v>0.0976</v>
      </c>
      <c r="C23" s="21">
        <f>ROUND(($C$5*B23),2)</f>
        <v>244</v>
      </c>
      <c r="D23" t="s">
        <v>5</v>
      </c>
      <c r="F23" s="2">
        <f>ROUND(($C$5*B23),2)</f>
        <v>244</v>
      </c>
      <c r="G23" t="s">
        <v>8</v>
      </c>
    </row>
    <row r="24" spans="1:7" ht="15">
      <c r="A24" s="54" t="s">
        <v>16</v>
      </c>
      <c r="B24" s="31">
        <f>6.5%</f>
        <v>0.065</v>
      </c>
      <c r="C24" s="50">
        <f>ROUND(($C$5*B24),2)</f>
        <v>162.5</v>
      </c>
      <c r="D24" s="51" t="s">
        <v>5</v>
      </c>
      <c r="E24" s="52"/>
      <c r="F24" s="53">
        <f>ROUND(($C$5*B24),2)</f>
        <v>162.5</v>
      </c>
      <c r="G24" t="s">
        <v>8</v>
      </c>
    </row>
    <row r="25" spans="1:7" ht="16.5">
      <c r="A25" s="22" t="s">
        <v>24</v>
      </c>
      <c r="B25" s="23">
        <v>0.0167</v>
      </c>
      <c r="C25" s="21">
        <f>ROUND(($C$5*B25),2)</f>
        <v>41.75</v>
      </c>
      <c r="D25" t="s">
        <v>5</v>
      </c>
      <c r="F25" s="2">
        <f>ROUND(($C$5*B25),2)</f>
        <v>41.75</v>
      </c>
      <c r="G25" t="s">
        <v>8</v>
      </c>
    </row>
    <row r="26" spans="1:7" ht="15">
      <c r="A26" s="30" t="s">
        <v>20</v>
      </c>
      <c r="B26" s="31">
        <v>0.0245</v>
      </c>
      <c r="C26" s="21">
        <f>ROUND(($C$5*B26),2)</f>
        <v>61.25</v>
      </c>
      <c r="D26" t="s">
        <v>5</v>
      </c>
      <c r="F26" s="2">
        <f>ROUND(($C$5*B26),2)</f>
        <v>61.25</v>
      </c>
      <c r="G26" t="s">
        <v>8</v>
      </c>
    </row>
    <row r="27" spans="1:7" ht="16.5">
      <c r="A27" s="22" t="s">
        <v>31</v>
      </c>
      <c r="B27" s="23">
        <v>0</v>
      </c>
      <c r="C27" s="21">
        <f>ROUND(($C$5*B27),2)</f>
        <v>0</v>
      </c>
      <c r="D27" t="s">
        <v>5</v>
      </c>
      <c r="F27" s="2">
        <f>ROUND(($C$5*B27),2)</f>
        <v>0</v>
      </c>
      <c r="G27" t="s">
        <v>8</v>
      </c>
    </row>
    <row r="29" spans="1:7" ht="15">
      <c r="A29" t="s">
        <v>6</v>
      </c>
      <c r="C29" s="11">
        <f>SUMIF(D7:D27,D29,C7:C27)</f>
        <v>1046.4</v>
      </c>
      <c r="D29" t="s">
        <v>5</v>
      </c>
      <c r="F29" s="11">
        <f>SUMIF(G7:G27,G29,F7:F27)</f>
        <v>1046.4</v>
      </c>
      <c r="G29" t="s">
        <v>8</v>
      </c>
    </row>
    <row r="30" spans="1:6" ht="15">
      <c r="A30" t="s">
        <v>30</v>
      </c>
      <c r="C30" s="39"/>
      <c r="F30" s="40"/>
    </row>
    <row r="31" spans="1:6" ht="15">
      <c r="A31" t="s">
        <v>29</v>
      </c>
      <c r="C31" s="11">
        <f>C7+C8+C9+C17</f>
        <v>536.9</v>
      </c>
      <c r="F31" s="11">
        <f>F7+F8+F9+F17</f>
        <v>536.9</v>
      </c>
    </row>
    <row r="32" spans="1:6" ht="15">
      <c r="A32" t="s">
        <v>37</v>
      </c>
      <c r="C32" s="11">
        <f>C23+C24+C25+C26+C27</f>
        <v>509.5</v>
      </c>
      <c r="F32" s="11">
        <f>F23+F24+F25+F26+F27</f>
        <v>509.5</v>
      </c>
    </row>
    <row r="34" spans="1:6" ht="15.75">
      <c r="A34" t="s">
        <v>7</v>
      </c>
      <c r="C34" s="12">
        <f>SUM(C5+C23+C24+C25+C26+C27)</f>
        <v>3009.5</v>
      </c>
      <c r="F34" s="12">
        <f>SUM(C5+F23+F24+F25+F26+F27)</f>
        <v>3009.5</v>
      </c>
    </row>
    <row r="35" spans="3:6" ht="15.75">
      <c r="C35" s="14"/>
      <c r="D35" s="15"/>
      <c r="E35" s="7"/>
      <c r="F35" s="14"/>
    </row>
    <row r="36" spans="3:6" ht="15.75">
      <c r="C36" s="14"/>
      <c r="D36" s="15"/>
      <c r="E36" s="7"/>
      <c r="F36" s="14"/>
    </row>
    <row r="37" spans="1:6" ht="15.75">
      <c r="A37" s="13"/>
      <c r="C37" s="14"/>
      <c r="D37" s="15"/>
      <c r="E37" s="7"/>
      <c r="F37" s="14"/>
    </row>
    <row r="38" spans="1:2" ht="15">
      <c r="A38" s="32" t="s">
        <v>25</v>
      </c>
      <c r="B38" s="19"/>
    </row>
    <row r="39" spans="1:2" ht="15">
      <c r="A39" s="32" t="s">
        <v>35</v>
      </c>
      <c r="B39" s="20"/>
    </row>
    <row r="40" spans="1:2" ht="15">
      <c r="A40" s="32" t="s">
        <v>34</v>
      </c>
      <c r="B40" s="20"/>
    </row>
    <row r="41" ht="15">
      <c r="A41" s="38" t="s">
        <v>46</v>
      </c>
    </row>
    <row r="42" ht="15">
      <c r="A42" s="38" t="s">
        <v>27</v>
      </c>
    </row>
    <row r="43" ht="13.5" customHeight="1">
      <c r="A43" s="38" t="s">
        <v>32</v>
      </c>
    </row>
    <row r="44" ht="13.5" customHeight="1">
      <c r="A44" s="38" t="s">
        <v>26</v>
      </c>
    </row>
    <row r="45" ht="15">
      <c r="A45" s="48"/>
    </row>
    <row r="46" ht="15">
      <c r="A46" s="38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PageLayoutView="0" workbookViewId="0" topLeftCell="A1">
      <selection activeCell="F25" sqref="F25"/>
    </sheetView>
  </sheetViews>
  <sheetFormatPr defaultColWidth="8.796875" defaultRowHeight="15"/>
  <cols>
    <col min="1" max="1" width="28.09765625" style="0" customWidth="1"/>
    <col min="2" max="2" width="7.8984375" style="18" customWidth="1"/>
    <col min="3" max="3" width="12.796875" style="0" customWidth="1"/>
    <col min="4" max="4" width="2" style="0" hidden="1" customWidth="1"/>
    <col min="5" max="5" width="2.796875" style="6" customWidth="1"/>
    <col min="6" max="6" width="12.19921875" style="0" customWidth="1"/>
    <col min="7" max="7" width="1.796875" style="0" hidden="1" customWidth="1"/>
    <col min="8" max="8" width="5.09765625" style="0" customWidth="1"/>
    <col min="9" max="9" width="10.59765625" style="0" bestFit="1" customWidth="1"/>
  </cols>
  <sheetData>
    <row r="1" ht="15"/>
    <row r="2" spans="1:3" ht="15">
      <c r="A2" s="59" t="s">
        <v>21</v>
      </c>
      <c r="B2" s="60"/>
      <c r="C2" s="60"/>
    </row>
    <row r="3" spans="1:3" ht="15">
      <c r="A3" s="61" t="s">
        <v>43</v>
      </c>
      <c r="B3" s="61"/>
      <c r="C3" s="61"/>
    </row>
    <row r="4" ht="15"/>
    <row r="5" spans="1:6" ht="15.75">
      <c r="A5" s="28" t="s">
        <v>0</v>
      </c>
      <c r="B5" s="29"/>
      <c r="C5" s="33">
        <v>2000</v>
      </c>
      <c r="F5" s="5"/>
    </row>
    <row r="6" spans="1:6" ht="15">
      <c r="A6" s="9" t="s">
        <v>9</v>
      </c>
      <c r="B6" s="16"/>
      <c r="C6" s="8" t="s">
        <v>10</v>
      </c>
      <c r="F6" s="10" t="s">
        <v>11</v>
      </c>
    </row>
    <row r="7" spans="1:7" ht="15">
      <c r="A7" s="26" t="s">
        <v>17</v>
      </c>
      <c r="B7" s="27">
        <v>0.0976</v>
      </c>
      <c r="C7" s="21">
        <f>ROUND(($C$5*B7),2)</f>
        <v>195.2</v>
      </c>
      <c r="D7" t="s">
        <v>5</v>
      </c>
      <c r="F7" s="2">
        <f>ROUND(($C$5*B7),2)</f>
        <v>195.2</v>
      </c>
      <c r="G7" t="s">
        <v>8</v>
      </c>
    </row>
    <row r="8" spans="1:7" ht="15">
      <c r="A8" s="49" t="s">
        <v>16</v>
      </c>
      <c r="B8" s="23">
        <f>3.5%-2%</f>
        <v>0.015000000000000003</v>
      </c>
      <c r="C8" s="50">
        <f>ROUND(($C$5*B8),2)</f>
        <v>30</v>
      </c>
      <c r="D8" s="51" t="s">
        <v>5</v>
      </c>
      <c r="E8" s="52"/>
      <c r="F8" s="53">
        <f>ROUND(($C$5*B8),2)</f>
        <v>30</v>
      </c>
      <c r="G8" t="s">
        <v>8</v>
      </c>
    </row>
    <row r="9" spans="1:9" ht="15">
      <c r="A9" s="54" t="s">
        <v>15</v>
      </c>
      <c r="B9" s="31">
        <v>0.0245</v>
      </c>
      <c r="C9" s="50">
        <f>ROUND(($C$5*B9),2)</f>
        <v>49</v>
      </c>
      <c r="D9" s="51" t="s">
        <v>5</v>
      </c>
      <c r="E9" s="52"/>
      <c r="F9" s="53">
        <f>ROUND(($C$5*B9),2)</f>
        <v>49</v>
      </c>
      <c r="G9" t="s">
        <v>8</v>
      </c>
      <c r="I9" s="47"/>
    </row>
    <row r="10" spans="1:9" ht="15">
      <c r="A10" s="49" t="s">
        <v>1</v>
      </c>
      <c r="B10" s="23"/>
      <c r="C10" s="50">
        <f>SUM($C5-C7-C8-C9)</f>
        <v>1725.8</v>
      </c>
      <c r="D10" s="51"/>
      <c r="E10" s="52"/>
      <c r="F10" s="53">
        <f>SUM($C5-F7-F8-F9)</f>
        <v>1725.8</v>
      </c>
      <c r="I10" s="47"/>
    </row>
    <row r="11" spans="1:7" ht="15">
      <c r="A11" s="54" t="s">
        <v>33</v>
      </c>
      <c r="B11" s="55">
        <v>111.25</v>
      </c>
      <c r="C11" s="50">
        <f>B11</f>
        <v>111.25</v>
      </c>
      <c r="D11" s="56"/>
      <c r="E11" s="52"/>
      <c r="F11" s="53">
        <f>ROUND(B11*1.25,2)</f>
        <v>139.06</v>
      </c>
      <c r="G11" s="5"/>
    </row>
    <row r="12" spans="1:6" ht="15">
      <c r="A12" s="22" t="s">
        <v>2</v>
      </c>
      <c r="B12" s="23"/>
      <c r="C12" s="21">
        <f>ROUND(IF((C10-C11)&gt;0,(C10-C11),0),0)</f>
        <v>1615</v>
      </c>
      <c r="F12" s="2">
        <f>ROUND(IF((F10-F11)&gt;0,(F10-F11),0),0)</f>
        <v>1587</v>
      </c>
    </row>
    <row r="13" spans="1:6" ht="16.5">
      <c r="A13" s="54" t="s">
        <v>38</v>
      </c>
      <c r="B13" s="31">
        <v>0.18</v>
      </c>
      <c r="C13" s="50">
        <f>SUM(C12*B13)</f>
        <v>290.7</v>
      </c>
      <c r="D13" s="51"/>
      <c r="E13" s="52"/>
      <c r="F13" s="53">
        <f>SUM(F12*B13)</f>
        <v>285.65999999999997</v>
      </c>
    </row>
    <row r="14" spans="1:9" ht="15">
      <c r="A14" s="49" t="s">
        <v>18</v>
      </c>
      <c r="B14" s="57">
        <v>46.33</v>
      </c>
      <c r="C14" s="50">
        <f>B14</f>
        <v>46.33</v>
      </c>
      <c r="D14" s="51"/>
      <c r="E14" s="52"/>
      <c r="F14" s="53">
        <f>B14</f>
        <v>46.33</v>
      </c>
      <c r="I14" s="47"/>
    </row>
    <row r="15" spans="1:9" ht="15">
      <c r="A15" s="30" t="s">
        <v>3</v>
      </c>
      <c r="B15" s="31"/>
      <c r="C15" s="4">
        <f>IF(C14&lt;C13,C13-C14,0)</f>
        <v>244.37</v>
      </c>
      <c r="D15" s="36"/>
      <c r="E15" s="37"/>
      <c r="F15" s="4">
        <f>IF(F14&lt;F13,F13-F14,0)</f>
        <v>239.32999999999998</v>
      </c>
      <c r="I15" s="47"/>
    </row>
    <row r="16" spans="1:7" ht="15">
      <c r="A16" s="41" t="s">
        <v>13</v>
      </c>
      <c r="B16" s="42">
        <v>0.09</v>
      </c>
      <c r="C16" s="43">
        <f>ROUND(C10*$B16,2)</f>
        <v>155.32</v>
      </c>
      <c r="D16" s="44"/>
      <c r="E16" s="45"/>
      <c r="F16" s="46">
        <f>ROUND(F10*$B16,2)</f>
        <v>155.32</v>
      </c>
      <c r="G16" t="s">
        <v>8</v>
      </c>
    </row>
    <row r="17" spans="1:9" ht="15.75">
      <c r="A17" s="28" t="s">
        <v>23</v>
      </c>
      <c r="B17" s="23">
        <v>0.09</v>
      </c>
      <c r="C17" s="25">
        <f>IF(C16&gt;C15,C15,C16)</f>
        <v>155.32</v>
      </c>
      <c r="D17" s="34" t="s">
        <v>5</v>
      </c>
      <c r="E17" s="35"/>
      <c r="F17" s="1">
        <f>IF(F16&gt;F15,F15,F16)</f>
        <v>155.32</v>
      </c>
      <c r="I17" s="47"/>
    </row>
    <row r="18" spans="1:6" ht="15.75" hidden="1">
      <c r="A18" s="30" t="s">
        <v>22</v>
      </c>
      <c r="B18" s="31">
        <v>0.0775</v>
      </c>
      <c r="C18" s="21">
        <f>SUM(C10*$B19)</f>
        <v>133.74949999999998</v>
      </c>
      <c r="D18" s="34"/>
      <c r="E18" s="35"/>
      <c r="F18" s="2">
        <f>SUM(F10*$B19)</f>
        <v>133.74949999999998</v>
      </c>
    </row>
    <row r="19" spans="1:9" ht="15">
      <c r="A19" s="30" t="s">
        <v>14</v>
      </c>
      <c r="B19" s="31">
        <v>0.0775</v>
      </c>
      <c r="C19" s="24">
        <f>IF(C18&lt;C15,C18,C15)</f>
        <v>133.74949999999998</v>
      </c>
      <c r="D19" s="36"/>
      <c r="E19" s="37"/>
      <c r="F19" s="4">
        <f>IF(F18&lt;F15,F18,F15)</f>
        <v>133.74949999999998</v>
      </c>
      <c r="I19" s="47"/>
    </row>
    <row r="20" spans="1:6" ht="17.25">
      <c r="A20" s="28" t="s">
        <v>28</v>
      </c>
      <c r="B20" s="23"/>
      <c r="C20" s="25">
        <f>ROUND((C15-C19),0)</f>
        <v>111</v>
      </c>
      <c r="D20" s="34"/>
      <c r="E20" s="35"/>
      <c r="F20" s="1">
        <f>ROUND((F15-F19),0)</f>
        <v>106</v>
      </c>
    </row>
    <row r="21" spans="1:6" ht="15.75">
      <c r="A21" s="28" t="s">
        <v>4</v>
      </c>
      <c r="B21" s="29"/>
      <c r="C21" s="25">
        <f>SUM($C5-C7-C8-C9-C17-C20)</f>
        <v>1459.48</v>
      </c>
      <c r="F21" s="1">
        <f>SUM($C5-F7-F8-F9-F17-F20)</f>
        <v>1464.48</v>
      </c>
    </row>
    <row r="22" spans="1:2" ht="15">
      <c r="A22" s="3" t="s">
        <v>12</v>
      </c>
      <c r="B22" s="17"/>
    </row>
    <row r="23" spans="1:7" ht="15">
      <c r="A23" s="22" t="s">
        <v>19</v>
      </c>
      <c r="B23" s="23">
        <v>0.0976</v>
      </c>
      <c r="C23" s="21">
        <f>ROUND(($C$5*B23),2)</f>
        <v>195.2</v>
      </c>
      <c r="D23" t="s">
        <v>5</v>
      </c>
      <c r="F23" s="2">
        <f>ROUND(($C$5*B23),2)</f>
        <v>195.2</v>
      </c>
      <c r="G23" t="s">
        <v>8</v>
      </c>
    </row>
    <row r="24" spans="1:7" ht="15">
      <c r="A24" s="54" t="s">
        <v>16</v>
      </c>
      <c r="B24" s="31">
        <f>6.5%</f>
        <v>0.065</v>
      </c>
      <c r="C24" s="50">
        <f>ROUND(($C$5*B24),2)</f>
        <v>130</v>
      </c>
      <c r="D24" s="51" t="s">
        <v>5</v>
      </c>
      <c r="E24" s="52"/>
      <c r="F24" s="53">
        <f>ROUND(($C$5*B24),2)</f>
        <v>130</v>
      </c>
      <c r="G24" t="s">
        <v>8</v>
      </c>
    </row>
    <row r="25" spans="1:7" ht="16.5">
      <c r="A25" s="22" t="s">
        <v>24</v>
      </c>
      <c r="B25" s="23">
        <v>0.018</v>
      </c>
      <c r="C25" s="21">
        <f>ROUND(($C$5*B25),2)</f>
        <v>36</v>
      </c>
      <c r="D25" t="s">
        <v>5</v>
      </c>
      <c r="F25" s="2">
        <f>ROUND(($C$5*B25),2)</f>
        <v>36</v>
      </c>
      <c r="G25" t="s">
        <v>8</v>
      </c>
    </row>
    <row r="26" spans="1:7" ht="15">
      <c r="A26" s="30" t="s">
        <v>20</v>
      </c>
      <c r="B26" s="31">
        <v>0.0245</v>
      </c>
      <c r="C26" s="21">
        <f>ROUND(($C$5*B26),2)</f>
        <v>49</v>
      </c>
      <c r="D26" t="s">
        <v>5</v>
      </c>
      <c r="F26" s="2">
        <f>ROUND(($C$5*B26),2)</f>
        <v>49</v>
      </c>
      <c r="G26" t="s">
        <v>8</v>
      </c>
    </row>
    <row r="27" spans="1:7" ht="16.5">
      <c r="A27" s="22" t="s">
        <v>31</v>
      </c>
      <c r="B27" s="23">
        <v>0</v>
      </c>
      <c r="C27" s="21">
        <f>ROUND(($C$5*B27),2)</f>
        <v>0</v>
      </c>
      <c r="D27" t="s">
        <v>5</v>
      </c>
      <c r="F27" s="2">
        <f>ROUND(($C$5*B27),2)</f>
        <v>0</v>
      </c>
      <c r="G27" t="s">
        <v>8</v>
      </c>
    </row>
    <row r="29" spans="1:7" ht="15">
      <c r="A29" t="s">
        <v>6</v>
      </c>
      <c r="C29" s="11">
        <f>SUMIF(D7:D27,D29,C7:C27)</f>
        <v>839.72</v>
      </c>
      <c r="D29" t="s">
        <v>5</v>
      </c>
      <c r="F29" s="11">
        <f>SUMIF(G7:G27,G29,F7:F27)</f>
        <v>839.72</v>
      </c>
      <c r="G29" t="s">
        <v>8</v>
      </c>
    </row>
    <row r="30" spans="1:6" ht="15">
      <c r="A30" t="s">
        <v>30</v>
      </c>
      <c r="C30" s="39"/>
      <c r="F30" s="40"/>
    </row>
    <row r="31" spans="1:6" ht="15">
      <c r="A31" t="s">
        <v>29</v>
      </c>
      <c r="C31" s="11">
        <f>C7+C8+C9+C17</f>
        <v>429.52</v>
      </c>
      <c r="F31" s="11">
        <f>F7+F8+F9+F17</f>
        <v>429.52</v>
      </c>
    </row>
    <row r="32" spans="1:6" ht="15">
      <c r="A32" t="s">
        <v>37</v>
      </c>
      <c r="C32" s="11">
        <f>C23+C24+C25+C26+C27</f>
        <v>410.2</v>
      </c>
      <c r="F32" s="11">
        <f>F23+F24+F25+F26+F27</f>
        <v>410.2</v>
      </c>
    </row>
    <row r="34" spans="1:6" ht="15.75">
      <c r="A34" t="s">
        <v>7</v>
      </c>
      <c r="C34" s="12">
        <f>SUM(C5+C23+C24+C25+C26+C27)</f>
        <v>2410.2</v>
      </c>
      <c r="F34" s="12">
        <f>SUM(C5+F23+F24+F25+F26+F27)</f>
        <v>2410.2</v>
      </c>
    </row>
    <row r="35" spans="3:6" ht="15.75">
      <c r="C35" s="14"/>
      <c r="D35" s="15"/>
      <c r="E35" s="7"/>
      <c r="F35" s="14"/>
    </row>
    <row r="36" spans="3:6" ht="15.75">
      <c r="C36" s="14"/>
      <c r="D36" s="15"/>
      <c r="E36" s="7"/>
      <c r="F36" s="14"/>
    </row>
    <row r="37" spans="1:6" ht="15.75">
      <c r="A37" s="13"/>
      <c r="C37" s="14"/>
      <c r="D37" s="15"/>
      <c r="E37" s="7"/>
      <c r="F37" s="14"/>
    </row>
    <row r="38" spans="1:2" ht="15">
      <c r="A38" s="32" t="s">
        <v>25</v>
      </c>
      <c r="B38" s="19"/>
    </row>
    <row r="39" spans="1:2" ht="15">
      <c r="A39" s="32" t="s">
        <v>35</v>
      </c>
      <c r="B39" s="20"/>
    </row>
    <row r="40" spans="1:2" ht="15">
      <c r="A40" s="32" t="s">
        <v>34</v>
      </c>
      <c r="B40" s="20"/>
    </row>
    <row r="41" ht="15">
      <c r="A41" s="38" t="s">
        <v>44</v>
      </c>
    </row>
    <row r="42" ht="15">
      <c r="A42" s="38" t="s">
        <v>27</v>
      </c>
    </row>
    <row r="43" ht="13.5" customHeight="1">
      <c r="A43" s="38" t="s">
        <v>32</v>
      </c>
    </row>
    <row r="44" ht="13.5" customHeight="1">
      <c r="A44" s="38" t="s">
        <v>26</v>
      </c>
    </row>
    <row r="45" ht="15">
      <c r="A45" s="48"/>
    </row>
    <row r="46" ht="15">
      <c r="A46" s="38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PageLayoutView="0" workbookViewId="0" topLeftCell="A1">
      <selection activeCell="A43" sqref="A43"/>
    </sheetView>
  </sheetViews>
  <sheetFormatPr defaultColWidth="8.796875" defaultRowHeight="15"/>
  <cols>
    <col min="1" max="1" width="28.09765625" style="0" customWidth="1"/>
    <col min="2" max="2" width="7.8984375" style="18" customWidth="1"/>
    <col min="3" max="3" width="12.796875" style="0" customWidth="1"/>
    <col min="4" max="4" width="2" style="0" hidden="1" customWidth="1"/>
    <col min="5" max="5" width="2.796875" style="6" customWidth="1"/>
    <col min="6" max="6" width="12.19921875" style="0" customWidth="1"/>
    <col min="7" max="7" width="1.796875" style="0" hidden="1" customWidth="1"/>
    <col min="8" max="8" width="5.09765625" style="0" customWidth="1"/>
    <col min="9" max="9" width="10.59765625" style="0" bestFit="1" customWidth="1"/>
  </cols>
  <sheetData>
    <row r="1" ht="15"/>
    <row r="2" spans="1:3" ht="15">
      <c r="A2" s="59" t="s">
        <v>21</v>
      </c>
      <c r="B2" s="60"/>
      <c r="C2" s="60"/>
    </row>
    <row r="3" spans="1:3" ht="15">
      <c r="A3" s="61" t="s">
        <v>41</v>
      </c>
      <c r="B3" s="61"/>
      <c r="C3" s="61"/>
    </row>
    <row r="4" ht="15"/>
    <row r="5" spans="1:6" ht="15.75">
      <c r="A5" s="28" t="s">
        <v>0</v>
      </c>
      <c r="B5" s="29"/>
      <c r="C5" s="33">
        <v>1500</v>
      </c>
      <c r="F5" s="5"/>
    </row>
    <row r="6" spans="1:6" ht="15">
      <c r="A6" s="9" t="s">
        <v>9</v>
      </c>
      <c r="B6" s="16"/>
      <c r="C6" s="8" t="s">
        <v>10</v>
      </c>
      <c r="F6" s="10" t="s">
        <v>11</v>
      </c>
    </row>
    <row r="7" spans="1:7" ht="15">
      <c r="A7" s="26" t="s">
        <v>17</v>
      </c>
      <c r="B7" s="27">
        <v>0.0976</v>
      </c>
      <c r="C7" s="21">
        <f>ROUND(($C$5*B7),2)</f>
        <v>146.4</v>
      </c>
      <c r="D7" t="s">
        <v>5</v>
      </c>
      <c r="F7" s="2">
        <f>ROUND(($C$5*B7),2)</f>
        <v>146.4</v>
      </c>
      <c r="G7" t="s">
        <v>8</v>
      </c>
    </row>
    <row r="8" spans="1:7" ht="15">
      <c r="A8" s="49" t="s">
        <v>16</v>
      </c>
      <c r="B8" s="23">
        <f>3.5%-2%</f>
        <v>0.015000000000000003</v>
      </c>
      <c r="C8" s="50">
        <f>ROUND(($C$5*B8),2)</f>
        <v>22.5</v>
      </c>
      <c r="D8" s="51" t="s">
        <v>5</v>
      </c>
      <c r="E8" s="52"/>
      <c r="F8" s="53">
        <f>ROUND(($C$5*B8),2)</f>
        <v>22.5</v>
      </c>
      <c r="G8" t="s">
        <v>8</v>
      </c>
    </row>
    <row r="9" spans="1:9" ht="15">
      <c r="A9" s="54" t="s">
        <v>15</v>
      </c>
      <c r="B9" s="31">
        <v>0.0245</v>
      </c>
      <c r="C9" s="50">
        <f>ROUND(($C$5*B9),2)</f>
        <v>36.75</v>
      </c>
      <c r="D9" s="51" t="s">
        <v>5</v>
      </c>
      <c r="E9" s="52"/>
      <c r="F9" s="53">
        <f>ROUND(($C$5*B9),2)</f>
        <v>36.75</v>
      </c>
      <c r="G9" t="s">
        <v>8</v>
      </c>
      <c r="I9" s="47"/>
    </row>
    <row r="10" spans="1:6" ht="15">
      <c r="A10" s="49" t="s">
        <v>1</v>
      </c>
      <c r="B10" s="23"/>
      <c r="C10" s="50">
        <f>SUM($C5-C7-C8-C9)</f>
        <v>1294.35</v>
      </c>
      <c r="D10" s="51"/>
      <c r="E10" s="52"/>
      <c r="F10" s="53">
        <f>SUM($C5-F7-F8-F9)</f>
        <v>1294.35</v>
      </c>
    </row>
    <row r="11" spans="1:7" ht="15">
      <c r="A11" s="54" t="s">
        <v>33</v>
      </c>
      <c r="B11" s="55">
        <v>111.25</v>
      </c>
      <c r="C11" s="50">
        <f>B11</f>
        <v>111.25</v>
      </c>
      <c r="D11" s="56"/>
      <c r="E11" s="52"/>
      <c r="F11" s="53">
        <f>ROUND(B11*1.25,2)</f>
        <v>139.06</v>
      </c>
      <c r="G11" s="5"/>
    </row>
    <row r="12" spans="1:6" ht="15">
      <c r="A12" s="22" t="s">
        <v>2</v>
      </c>
      <c r="B12" s="23"/>
      <c r="C12" s="21">
        <f>ROUND(IF((C10-C11)&gt;0,(C10-C11),0),0)</f>
        <v>1183</v>
      </c>
      <c r="F12" s="2">
        <f>ROUND(IF((F10-F11)&gt;0,(F10-F11),0),0)</f>
        <v>1155</v>
      </c>
    </row>
    <row r="13" spans="1:6" ht="16.5">
      <c r="A13" s="54" t="s">
        <v>38</v>
      </c>
      <c r="B13" s="31">
        <v>0.18</v>
      </c>
      <c r="C13" s="50">
        <f>SUM(C12*B13)</f>
        <v>212.94</v>
      </c>
      <c r="D13" s="51"/>
      <c r="E13" s="52"/>
      <c r="F13" s="53">
        <f>SUM(F12*B13)</f>
        <v>207.9</v>
      </c>
    </row>
    <row r="14" spans="1:9" ht="15">
      <c r="A14" s="49" t="s">
        <v>18</v>
      </c>
      <c r="B14" s="57">
        <v>46.33</v>
      </c>
      <c r="C14" s="50">
        <f>B14</f>
        <v>46.33</v>
      </c>
      <c r="D14" s="51"/>
      <c r="E14" s="52"/>
      <c r="F14" s="53">
        <f>B14</f>
        <v>46.33</v>
      </c>
      <c r="I14" s="47"/>
    </row>
    <row r="15" spans="1:9" ht="15">
      <c r="A15" s="30" t="s">
        <v>3</v>
      </c>
      <c r="B15" s="31"/>
      <c r="C15" s="4">
        <f>IF(C14&lt;C13,C13-C14,0)</f>
        <v>166.61</v>
      </c>
      <c r="D15" s="36"/>
      <c r="E15" s="37"/>
      <c r="F15" s="4">
        <f>IF(F14&lt;F13,F13-F14,0)</f>
        <v>161.57</v>
      </c>
      <c r="I15" s="47"/>
    </row>
    <row r="16" spans="1:7" ht="15" hidden="1">
      <c r="A16" s="41" t="s">
        <v>13</v>
      </c>
      <c r="B16" s="42">
        <v>0.09</v>
      </c>
      <c r="C16" s="43">
        <f>ROUND(C10*$B16,2)</f>
        <v>116.49</v>
      </c>
      <c r="D16" s="44"/>
      <c r="E16" s="45"/>
      <c r="F16" s="46">
        <f>ROUND(F10*$B16,2)</f>
        <v>116.49</v>
      </c>
      <c r="G16" t="s">
        <v>8</v>
      </c>
    </row>
    <row r="17" spans="1:9" ht="15.75">
      <c r="A17" s="28" t="s">
        <v>23</v>
      </c>
      <c r="B17" s="23">
        <v>0.09</v>
      </c>
      <c r="C17" s="25">
        <f>IF(C16&gt;C15,C15,C16)</f>
        <v>116.49</v>
      </c>
      <c r="D17" s="34" t="s">
        <v>5</v>
      </c>
      <c r="E17" s="35"/>
      <c r="F17" s="1">
        <f>IF(F16&gt;F15,F15,F16)</f>
        <v>116.49</v>
      </c>
      <c r="I17" s="47"/>
    </row>
    <row r="18" spans="1:6" ht="15.75" hidden="1">
      <c r="A18" s="30" t="s">
        <v>22</v>
      </c>
      <c r="B18" s="31">
        <v>0.0775</v>
      </c>
      <c r="C18" s="21">
        <f>SUM(C10*$B19)</f>
        <v>100.312125</v>
      </c>
      <c r="D18" s="34"/>
      <c r="E18" s="35"/>
      <c r="F18" s="2">
        <f>SUM(F10*$B19)</f>
        <v>100.312125</v>
      </c>
    </row>
    <row r="19" spans="1:6" ht="15">
      <c r="A19" s="30" t="s">
        <v>14</v>
      </c>
      <c r="B19" s="31">
        <v>0.0775</v>
      </c>
      <c r="C19" s="24">
        <f>IF(C18&lt;C15,C18,C15)</f>
        <v>100.312125</v>
      </c>
      <c r="D19" s="36"/>
      <c r="E19" s="37"/>
      <c r="F19" s="4">
        <f>IF(F18&lt;F15,F18,F15)</f>
        <v>100.312125</v>
      </c>
    </row>
    <row r="20" spans="1:6" ht="17.25">
      <c r="A20" s="28" t="s">
        <v>28</v>
      </c>
      <c r="B20" s="23"/>
      <c r="C20" s="25">
        <f>ROUND((C15-C19),0)</f>
        <v>66</v>
      </c>
      <c r="D20" s="34"/>
      <c r="E20" s="35"/>
      <c r="F20" s="1">
        <f>ROUND((F15-F19),0)</f>
        <v>61</v>
      </c>
    </row>
    <row r="21" spans="1:6" ht="15.75">
      <c r="A21" s="28" t="s">
        <v>4</v>
      </c>
      <c r="B21" s="29"/>
      <c r="C21" s="25">
        <f>SUM($C5-C7-C8-C9-C17-C20)</f>
        <v>1111.86</v>
      </c>
      <c r="F21" s="1">
        <f>SUM($C5-F7-F8-F9-F17-F20)</f>
        <v>1116.86</v>
      </c>
    </row>
    <row r="22" spans="1:2" ht="15">
      <c r="A22" s="3" t="s">
        <v>12</v>
      </c>
      <c r="B22" s="17"/>
    </row>
    <row r="23" spans="1:7" ht="15">
      <c r="A23" s="22" t="s">
        <v>19</v>
      </c>
      <c r="B23" s="23">
        <v>0.0976</v>
      </c>
      <c r="C23" s="21">
        <f>ROUND(($C$5*B23),2)</f>
        <v>146.4</v>
      </c>
      <c r="D23" t="s">
        <v>5</v>
      </c>
      <c r="F23" s="2">
        <f>ROUND(($C$5*B23),2)</f>
        <v>146.4</v>
      </c>
      <c r="G23" t="s">
        <v>8</v>
      </c>
    </row>
    <row r="24" spans="1:7" ht="15">
      <c r="A24" s="54" t="s">
        <v>16</v>
      </c>
      <c r="B24" s="31">
        <f>6.5%</f>
        <v>0.065</v>
      </c>
      <c r="C24" s="50">
        <f>ROUND(($C$5*B24),2)</f>
        <v>97.5</v>
      </c>
      <c r="D24" s="51" t="s">
        <v>5</v>
      </c>
      <c r="E24" s="52"/>
      <c r="F24" s="53">
        <f>ROUND(($C$5*B24),2)</f>
        <v>97.5</v>
      </c>
      <c r="G24" t="s">
        <v>8</v>
      </c>
    </row>
    <row r="25" spans="1:7" ht="16.5">
      <c r="A25" s="22" t="s">
        <v>24</v>
      </c>
      <c r="B25" s="23">
        <v>0.0193</v>
      </c>
      <c r="C25" s="21">
        <f>ROUND(($C$5*B25),2)</f>
        <v>28.95</v>
      </c>
      <c r="D25" t="s">
        <v>5</v>
      </c>
      <c r="F25" s="2">
        <f>ROUND(($C$5*B25),2)</f>
        <v>28.95</v>
      </c>
      <c r="G25" t="s">
        <v>8</v>
      </c>
    </row>
    <row r="26" spans="1:7" ht="15">
      <c r="A26" s="30" t="s">
        <v>20</v>
      </c>
      <c r="B26" s="31">
        <v>0.0245</v>
      </c>
      <c r="C26" s="21">
        <f>ROUND(($C$5*B26),2)</f>
        <v>36.75</v>
      </c>
      <c r="D26" t="s">
        <v>5</v>
      </c>
      <c r="F26" s="2">
        <f>ROUND(($C$5*B26),2)</f>
        <v>36.75</v>
      </c>
      <c r="G26" t="s">
        <v>8</v>
      </c>
    </row>
    <row r="27" spans="1:7" ht="16.5">
      <c r="A27" s="22" t="s">
        <v>31</v>
      </c>
      <c r="B27" s="23">
        <v>0</v>
      </c>
      <c r="C27" s="21">
        <f>ROUND(($C$5*B27),2)</f>
        <v>0</v>
      </c>
      <c r="D27" t="s">
        <v>5</v>
      </c>
      <c r="F27" s="2">
        <f>ROUND(($C$5*B27),2)</f>
        <v>0</v>
      </c>
      <c r="G27" t="s">
        <v>8</v>
      </c>
    </row>
    <row r="29" spans="1:7" ht="15">
      <c r="A29" t="s">
        <v>6</v>
      </c>
      <c r="C29" s="11">
        <f>SUMIF(D7:D27,D29,C7:C27)</f>
        <v>631.74</v>
      </c>
      <c r="D29" t="s">
        <v>5</v>
      </c>
      <c r="F29" s="11">
        <f>SUMIF(G7:G27,G29,F7:F27)</f>
        <v>631.74</v>
      </c>
      <c r="G29" t="s">
        <v>8</v>
      </c>
    </row>
    <row r="30" spans="1:6" ht="15">
      <c r="A30" t="s">
        <v>30</v>
      </c>
      <c r="C30" s="39"/>
      <c r="F30" s="40"/>
    </row>
    <row r="31" spans="1:6" ht="15">
      <c r="A31" t="s">
        <v>29</v>
      </c>
      <c r="C31" s="11">
        <f>C7+C8+C9+C17</f>
        <v>322.14</v>
      </c>
      <c r="F31" s="11">
        <f>F7+F8+F9+F17</f>
        <v>322.14</v>
      </c>
    </row>
    <row r="32" spans="1:6" ht="15">
      <c r="A32" t="s">
        <v>37</v>
      </c>
      <c r="C32" s="11">
        <f>C23+C24+C25+C26+C27</f>
        <v>309.6</v>
      </c>
      <c r="F32" s="11">
        <f>F23+F24+F25+F26+F27</f>
        <v>309.6</v>
      </c>
    </row>
    <row r="34" spans="1:6" ht="15.75">
      <c r="A34" t="s">
        <v>7</v>
      </c>
      <c r="C34" s="12">
        <f>SUM(C5+C23+C24+C25+C26+C27)</f>
        <v>1809.6000000000001</v>
      </c>
      <c r="F34" s="12">
        <f>SUM(C5+F23+F24+F25+F26+F27)</f>
        <v>1809.6000000000001</v>
      </c>
    </row>
    <row r="35" spans="3:6" ht="15.75">
      <c r="C35" s="14"/>
      <c r="D35" s="15"/>
      <c r="E35" s="7"/>
      <c r="F35" s="14"/>
    </row>
    <row r="36" spans="3:6" ht="15.75">
      <c r="C36" s="14"/>
      <c r="D36" s="15"/>
      <c r="E36" s="7"/>
      <c r="F36" s="14"/>
    </row>
    <row r="37" spans="1:6" ht="15.75">
      <c r="A37" s="13"/>
      <c r="C37" s="14"/>
      <c r="D37" s="15"/>
      <c r="E37" s="7"/>
      <c r="F37" s="14"/>
    </row>
    <row r="38" spans="1:2" ht="15">
      <c r="A38" s="32" t="s">
        <v>25</v>
      </c>
      <c r="B38" s="19"/>
    </row>
    <row r="39" spans="1:2" ht="15">
      <c r="A39" s="32" t="s">
        <v>35</v>
      </c>
      <c r="B39" s="20"/>
    </row>
    <row r="40" spans="1:2" ht="15">
      <c r="A40" s="32" t="s">
        <v>34</v>
      </c>
      <c r="B40" s="20"/>
    </row>
    <row r="41" ht="15">
      <c r="A41" s="38" t="s">
        <v>42</v>
      </c>
    </row>
    <row r="42" ht="15">
      <c r="A42" s="38" t="s">
        <v>27</v>
      </c>
    </row>
    <row r="43" ht="13.5" customHeight="1">
      <c r="A43" s="38" t="s">
        <v>32</v>
      </c>
    </row>
    <row r="44" ht="13.5" customHeight="1">
      <c r="A44" s="38" t="s">
        <v>26</v>
      </c>
    </row>
    <row r="45" ht="15">
      <c r="A45" s="48"/>
    </row>
    <row r="46" ht="15">
      <c r="A46" s="38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PageLayoutView="0" workbookViewId="0" topLeftCell="A2">
      <selection activeCell="B25" sqref="B25"/>
    </sheetView>
  </sheetViews>
  <sheetFormatPr defaultColWidth="8.796875" defaultRowHeight="15"/>
  <cols>
    <col min="1" max="1" width="28.09765625" style="0" customWidth="1"/>
    <col min="2" max="2" width="7.8984375" style="18" customWidth="1"/>
    <col min="3" max="3" width="12.796875" style="0" customWidth="1"/>
    <col min="4" max="4" width="2" style="0" hidden="1" customWidth="1"/>
    <col min="5" max="5" width="2.796875" style="6" customWidth="1"/>
    <col min="6" max="6" width="12.19921875" style="0" customWidth="1"/>
    <col min="7" max="7" width="1.796875" style="0" hidden="1" customWidth="1"/>
    <col min="8" max="8" width="5.09765625" style="0" customWidth="1"/>
    <col min="9" max="9" width="10.59765625" style="0" bestFit="1" customWidth="1"/>
  </cols>
  <sheetData>
    <row r="1" ht="15"/>
    <row r="2" spans="1:3" ht="15">
      <c r="A2" s="59" t="s">
        <v>21</v>
      </c>
      <c r="B2" s="60"/>
      <c r="C2" s="60"/>
    </row>
    <row r="3" spans="1:3" ht="15">
      <c r="A3" s="61" t="s">
        <v>40</v>
      </c>
      <c r="B3" s="61"/>
      <c r="C3" s="61"/>
    </row>
    <row r="4" ht="15"/>
    <row r="5" spans="1:6" ht="15.75">
      <c r="A5" s="28" t="s">
        <v>0</v>
      </c>
      <c r="B5" s="29"/>
      <c r="C5" s="33">
        <v>1500</v>
      </c>
      <c r="F5" s="5"/>
    </row>
    <row r="6" spans="1:6" ht="15">
      <c r="A6" s="9" t="s">
        <v>9</v>
      </c>
      <c r="B6" s="16"/>
      <c r="C6" s="8" t="s">
        <v>10</v>
      </c>
      <c r="F6" s="10" t="s">
        <v>11</v>
      </c>
    </row>
    <row r="7" spans="1:7" ht="15">
      <c r="A7" s="26" t="s">
        <v>17</v>
      </c>
      <c r="B7" s="27">
        <v>0.0976</v>
      </c>
      <c r="C7" s="21">
        <f>ROUND(($C$5*B7),2)</f>
        <v>146.4</v>
      </c>
      <c r="D7" t="s">
        <v>5</v>
      </c>
      <c r="F7" s="2">
        <f>ROUND(($C$5*B7),2)</f>
        <v>146.4</v>
      </c>
      <c r="G7" t="s">
        <v>8</v>
      </c>
    </row>
    <row r="8" spans="1:7" ht="15">
      <c r="A8" s="49" t="s">
        <v>16</v>
      </c>
      <c r="B8" s="23">
        <f>3.5%-2%</f>
        <v>0.015000000000000003</v>
      </c>
      <c r="C8" s="50">
        <f>ROUND(($C$5*B8),2)</f>
        <v>22.5</v>
      </c>
      <c r="D8" s="51" t="s">
        <v>5</v>
      </c>
      <c r="E8" s="52"/>
      <c r="F8" s="53">
        <f>ROUND(($C$5*B8),2)</f>
        <v>22.5</v>
      </c>
      <c r="G8" t="s">
        <v>8</v>
      </c>
    </row>
    <row r="9" spans="1:9" ht="15">
      <c r="A9" s="54" t="s">
        <v>15</v>
      </c>
      <c r="B9" s="31">
        <v>0.0245</v>
      </c>
      <c r="C9" s="50">
        <f>ROUND(($C$5*B9),2)</f>
        <v>36.75</v>
      </c>
      <c r="D9" s="51" t="s">
        <v>5</v>
      </c>
      <c r="E9" s="52"/>
      <c r="F9" s="53">
        <f>ROUND(($C$5*B9),2)</f>
        <v>36.75</v>
      </c>
      <c r="G9" t="s">
        <v>8</v>
      </c>
      <c r="I9" s="47"/>
    </row>
    <row r="10" spans="1:6" ht="15">
      <c r="A10" s="49" t="s">
        <v>1</v>
      </c>
      <c r="B10" s="23"/>
      <c r="C10" s="50">
        <f>SUM($C5-C7-C8-C9)</f>
        <v>1294.35</v>
      </c>
      <c r="D10" s="51"/>
      <c r="E10" s="52"/>
      <c r="F10" s="53">
        <f>SUM($C5-F7-F8-F9)</f>
        <v>1294.35</v>
      </c>
    </row>
    <row r="11" spans="1:7" ht="15">
      <c r="A11" s="54" t="s">
        <v>33</v>
      </c>
      <c r="B11" s="55">
        <v>111.25</v>
      </c>
      <c r="C11" s="50">
        <f>B11</f>
        <v>111.25</v>
      </c>
      <c r="D11" s="56"/>
      <c r="E11" s="52"/>
      <c r="F11" s="53">
        <f>ROUND(B11*1.25,2)</f>
        <v>139.06</v>
      </c>
      <c r="G11" s="5"/>
    </row>
    <row r="12" spans="1:6" ht="15">
      <c r="A12" s="22" t="s">
        <v>2</v>
      </c>
      <c r="B12" s="23"/>
      <c r="C12" s="21">
        <f>ROUND(IF((C10-C11)&gt;0,(C10-C11),0),0)</f>
        <v>1183</v>
      </c>
      <c r="F12" s="2">
        <f>ROUND(IF((F10-F11)&gt;0,(F10-F11),0),0)</f>
        <v>1155</v>
      </c>
    </row>
    <row r="13" spans="1:6" ht="16.5">
      <c r="A13" s="54" t="s">
        <v>38</v>
      </c>
      <c r="B13" s="31">
        <v>0.18</v>
      </c>
      <c r="C13" s="50">
        <f>SUM(C12*B13)</f>
        <v>212.94</v>
      </c>
      <c r="D13" s="51"/>
      <c r="E13" s="52"/>
      <c r="F13" s="53">
        <f>SUM(F12*B13)</f>
        <v>207.9</v>
      </c>
    </row>
    <row r="14" spans="1:9" ht="15">
      <c r="A14" s="49" t="s">
        <v>18</v>
      </c>
      <c r="B14" s="57">
        <v>46.33</v>
      </c>
      <c r="C14" s="50">
        <f>B14</f>
        <v>46.33</v>
      </c>
      <c r="D14" s="51"/>
      <c r="E14" s="52"/>
      <c r="F14" s="53">
        <f>B14</f>
        <v>46.33</v>
      </c>
      <c r="I14" s="47"/>
    </row>
    <row r="15" spans="1:9" ht="15">
      <c r="A15" s="30" t="s">
        <v>3</v>
      </c>
      <c r="B15" s="31"/>
      <c r="C15" s="4">
        <f>IF(C14&lt;C13,C13-C14,0)</f>
        <v>166.61</v>
      </c>
      <c r="D15" s="36"/>
      <c r="E15" s="37"/>
      <c r="F15" s="4">
        <f>IF(F14&lt;F13,F13-F14,0)</f>
        <v>161.57</v>
      </c>
      <c r="I15" s="47"/>
    </row>
    <row r="16" spans="1:7" ht="15" hidden="1">
      <c r="A16" s="41" t="s">
        <v>13</v>
      </c>
      <c r="B16" s="42">
        <v>0.09</v>
      </c>
      <c r="C16" s="43">
        <f>ROUND(C10*$B16,2)</f>
        <v>116.49</v>
      </c>
      <c r="D16" s="44"/>
      <c r="E16" s="45"/>
      <c r="F16" s="46">
        <f>ROUND(F10*$B16,2)</f>
        <v>116.49</v>
      </c>
      <c r="G16" t="s">
        <v>8</v>
      </c>
    </row>
    <row r="17" spans="1:9" ht="15.75">
      <c r="A17" s="28" t="s">
        <v>23</v>
      </c>
      <c r="B17" s="23">
        <v>0.09</v>
      </c>
      <c r="C17" s="25">
        <f>IF(C16&gt;C15,C15,C16)</f>
        <v>116.49</v>
      </c>
      <c r="D17" s="34" t="s">
        <v>5</v>
      </c>
      <c r="E17" s="35"/>
      <c r="F17" s="1">
        <f>IF(F16&gt;F15,F15,F16)</f>
        <v>116.49</v>
      </c>
      <c r="I17" s="47"/>
    </row>
    <row r="18" spans="1:6" ht="15.75" hidden="1">
      <c r="A18" s="30" t="s">
        <v>22</v>
      </c>
      <c r="B18" s="31">
        <v>0.0775</v>
      </c>
      <c r="C18" s="21">
        <f>SUM(C10*$B19)</f>
        <v>100.312125</v>
      </c>
      <c r="D18" s="34"/>
      <c r="E18" s="35"/>
      <c r="F18" s="2">
        <f>SUM(F10*$B19)</f>
        <v>100.312125</v>
      </c>
    </row>
    <row r="19" spans="1:6" ht="15">
      <c r="A19" s="30" t="s">
        <v>14</v>
      </c>
      <c r="B19" s="31">
        <v>0.0775</v>
      </c>
      <c r="C19" s="24">
        <f>IF(C18&lt;C15,C18,C15)</f>
        <v>100.312125</v>
      </c>
      <c r="D19" s="36"/>
      <c r="E19" s="37"/>
      <c r="F19" s="4">
        <f>IF(F18&lt;F15,F18,F15)</f>
        <v>100.312125</v>
      </c>
    </row>
    <row r="20" spans="1:6" ht="17.25">
      <c r="A20" s="28" t="s">
        <v>28</v>
      </c>
      <c r="B20" s="23"/>
      <c r="C20" s="25">
        <f>ROUND((C15-C19),0)</f>
        <v>66</v>
      </c>
      <c r="D20" s="34"/>
      <c r="E20" s="35"/>
      <c r="F20" s="1">
        <f>ROUND((F15-F19),0)</f>
        <v>61</v>
      </c>
    </row>
    <row r="21" spans="1:6" ht="15.75">
      <c r="A21" s="28" t="s">
        <v>4</v>
      </c>
      <c r="B21" s="29"/>
      <c r="C21" s="25">
        <f>SUM($C5-C7-C8-C9-C17-C20)</f>
        <v>1111.86</v>
      </c>
      <c r="F21" s="1">
        <f>SUM($C5-F7-F8-F9-F17-F20)</f>
        <v>1116.86</v>
      </c>
    </row>
    <row r="22" spans="1:2" ht="15">
      <c r="A22" s="3" t="s">
        <v>12</v>
      </c>
      <c r="B22" s="17"/>
    </row>
    <row r="23" spans="1:7" ht="15">
      <c r="A23" s="22" t="s">
        <v>19</v>
      </c>
      <c r="B23" s="23">
        <v>0.0976</v>
      </c>
      <c r="C23" s="21">
        <f>ROUND(($C$5*B23),2)</f>
        <v>146.4</v>
      </c>
      <c r="D23" t="s">
        <v>5</v>
      </c>
      <c r="F23" s="2">
        <f>ROUND(($C$5*B23),2)</f>
        <v>146.4</v>
      </c>
      <c r="G23" t="s">
        <v>8</v>
      </c>
    </row>
    <row r="24" spans="1:7" ht="15">
      <c r="A24" s="54" t="s">
        <v>16</v>
      </c>
      <c r="B24" s="31">
        <f>6.5%</f>
        <v>0.065</v>
      </c>
      <c r="C24" s="50">
        <f>ROUND(($C$5*B24),2)</f>
        <v>97.5</v>
      </c>
      <c r="D24" s="51" t="s">
        <v>5</v>
      </c>
      <c r="E24" s="52"/>
      <c r="F24" s="53">
        <f>ROUND(($C$5*B24),2)</f>
        <v>97.5</v>
      </c>
      <c r="G24" t="s">
        <v>8</v>
      </c>
    </row>
    <row r="25" spans="1:7" ht="16.5">
      <c r="A25" s="22" t="s">
        <v>24</v>
      </c>
      <c r="B25" s="23">
        <v>0.0167</v>
      </c>
      <c r="C25" s="21">
        <f>ROUND(($C$5*B25),2)</f>
        <v>25.05</v>
      </c>
      <c r="D25" t="s">
        <v>5</v>
      </c>
      <c r="F25" s="2">
        <f>ROUND(($C$5*B25),2)</f>
        <v>25.05</v>
      </c>
      <c r="G25" t="s">
        <v>8</v>
      </c>
    </row>
    <row r="26" spans="1:7" ht="15">
      <c r="A26" s="30" t="s">
        <v>20</v>
      </c>
      <c r="B26" s="31">
        <v>0.0245</v>
      </c>
      <c r="C26" s="21">
        <f>ROUND(($C$5*B26),2)</f>
        <v>36.75</v>
      </c>
      <c r="D26" t="s">
        <v>5</v>
      </c>
      <c r="F26" s="2">
        <f>ROUND(($C$5*B26),2)</f>
        <v>36.75</v>
      </c>
      <c r="G26" t="s">
        <v>8</v>
      </c>
    </row>
    <row r="27" spans="1:7" ht="16.5">
      <c r="A27" s="22" t="s">
        <v>31</v>
      </c>
      <c r="B27" s="23">
        <v>0</v>
      </c>
      <c r="C27" s="21">
        <f>ROUND(($C$5*B27),2)</f>
        <v>0</v>
      </c>
      <c r="D27" t="s">
        <v>5</v>
      </c>
      <c r="F27" s="2">
        <f>ROUND(($C$5*B27),2)</f>
        <v>0</v>
      </c>
      <c r="G27" t="s">
        <v>8</v>
      </c>
    </row>
    <row r="29" spans="1:7" ht="15">
      <c r="A29" t="s">
        <v>6</v>
      </c>
      <c r="C29" s="11">
        <f>SUMIF(D7:D27,D29,C7:C27)</f>
        <v>627.8399999999999</v>
      </c>
      <c r="D29" t="s">
        <v>5</v>
      </c>
      <c r="F29" s="11">
        <f>SUMIF(G7:G27,G29,F7:F27)</f>
        <v>627.8399999999999</v>
      </c>
      <c r="G29" t="s">
        <v>8</v>
      </c>
    </row>
    <row r="30" spans="1:6" ht="15">
      <c r="A30" t="s">
        <v>30</v>
      </c>
      <c r="C30" s="39"/>
      <c r="F30" s="40"/>
    </row>
    <row r="31" spans="1:6" ht="15">
      <c r="A31" t="s">
        <v>29</v>
      </c>
      <c r="C31" s="11">
        <f>C7+C8+C9+C17</f>
        <v>322.14</v>
      </c>
      <c r="F31" s="11">
        <f>F7+F8+F9+F17</f>
        <v>322.14</v>
      </c>
    </row>
    <row r="32" spans="1:6" ht="15">
      <c r="A32" t="s">
        <v>37</v>
      </c>
      <c r="C32" s="11">
        <f>C23+C24+C25+C26+C27</f>
        <v>305.7</v>
      </c>
      <c r="F32" s="11">
        <f>F23+F24+F25+F26+F27</f>
        <v>305.7</v>
      </c>
    </row>
    <row r="34" spans="1:6" ht="15.75">
      <c r="A34" t="s">
        <v>7</v>
      </c>
      <c r="C34" s="12">
        <f>SUM(C5+C23+C24+C25+C26+C27)</f>
        <v>1805.7</v>
      </c>
      <c r="F34" s="12">
        <f>SUM(C5+F23+F24+F25+F26+F27)</f>
        <v>1805.7</v>
      </c>
    </row>
    <row r="35" spans="3:6" ht="15.75">
      <c r="C35" s="14"/>
      <c r="D35" s="15"/>
      <c r="E35" s="7"/>
      <c r="F35" s="14"/>
    </row>
    <row r="36" spans="3:6" ht="15.75">
      <c r="C36" s="14"/>
      <c r="D36" s="15"/>
      <c r="E36" s="7"/>
      <c r="F36" s="14"/>
    </row>
    <row r="37" spans="1:6" ht="15.75">
      <c r="A37" s="13"/>
      <c r="C37" s="14"/>
      <c r="D37" s="15"/>
      <c r="E37" s="7"/>
      <c r="F37" s="14"/>
    </row>
    <row r="38" spans="1:2" ht="15">
      <c r="A38" s="32" t="s">
        <v>25</v>
      </c>
      <c r="B38" s="19"/>
    </row>
    <row r="39" spans="1:2" ht="15">
      <c r="A39" s="32" t="s">
        <v>35</v>
      </c>
      <c r="B39" s="20"/>
    </row>
    <row r="40" spans="1:2" ht="15">
      <c r="A40" s="32" t="s">
        <v>34</v>
      </c>
      <c r="B40" s="20"/>
    </row>
    <row r="41" ht="15">
      <c r="A41" s="38" t="s">
        <v>36</v>
      </c>
    </row>
    <row r="42" ht="15">
      <c r="A42" s="38" t="s">
        <v>27</v>
      </c>
    </row>
    <row r="43" ht="13.5" customHeight="1">
      <c r="A43" s="38" t="s">
        <v>32</v>
      </c>
    </row>
    <row r="44" ht="13.5" customHeight="1">
      <c r="A44" s="38" t="s">
        <v>26</v>
      </c>
    </row>
    <row r="45" ht="15">
      <c r="A45" s="48"/>
    </row>
    <row r="46" ht="15">
      <c r="A46" s="38"/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PageLayoutView="0" workbookViewId="0" topLeftCell="A1">
      <selection activeCell="B24" sqref="B24"/>
    </sheetView>
  </sheetViews>
  <sheetFormatPr defaultColWidth="8.796875" defaultRowHeight="15"/>
  <cols>
    <col min="1" max="1" width="28.09765625" style="0" customWidth="1"/>
    <col min="2" max="2" width="7.8984375" style="18" customWidth="1"/>
    <col min="3" max="3" width="12.796875" style="0" customWidth="1"/>
    <col min="4" max="4" width="2" style="0" hidden="1" customWidth="1"/>
    <col min="5" max="5" width="2.796875" style="6" customWidth="1"/>
    <col min="6" max="6" width="12.19921875" style="0" customWidth="1"/>
    <col min="7" max="7" width="1.796875" style="0" hidden="1" customWidth="1"/>
    <col min="8" max="8" width="5.09765625" style="0" customWidth="1"/>
    <col min="9" max="9" width="10.59765625" style="0" bestFit="1" customWidth="1"/>
  </cols>
  <sheetData>
    <row r="1" ht="15"/>
    <row r="2" spans="1:3" ht="15">
      <c r="A2" s="59" t="s">
        <v>21</v>
      </c>
      <c r="B2" s="60"/>
      <c r="C2" s="60"/>
    </row>
    <row r="3" spans="1:3" ht="15">
      <c r="A3" s="61" t="s">
        <v>39</v>
      </c>
      <c r="B3" s="61"/>
      <c r="C3" s="61"/>
    </row>
    <row r="4" ht="15"/>
    <row r="5" spans="1:6" ht="15.75">
      <c r="A5" s="28" t="s">
        <v>0</v>
      </c>
      <c r="B5" s="29"/>
      <c r="C5" s="33">
        <v>1500</v>
      </c>
      <c r="F5" s="5"/>
    </row>
    <row r="6" spans="1:6" ht="15">
      <c r="A6" s="9" t="s">
        <v>9</v>
      </c>
      <c r="B6" s="16"/>
      <c r="C6" s="8" t="s">
        <v>10</v>
      </c>
      <c r="F6" s="10" t="s">
        <v>11</v>
      </c>
    </row>
    <row r="7" spans="1:7" ht="15">
      <c r="A7" s="26" t="s">
        <v>17</v>
      </c>
      <c r="B7" s="27">
        <v>0.0976</v>
      </c>
      <c r="C7" s="21">
        <f>ROUND(($C$5*B7),2)</f>
        <v>146.4</v>
      </c>
      <c r="D7" t="s">
        <v>5</v>
      </c>
      <c r="F7" s="2">
        <f>ROUND(($C$5*B7),2)</f>
        <v>146.4</v>
      </c>
      <c r="G7" t="s">
        <v>8</v>
      </c>
    </row>
    <row r="8" spans="1:7" ht="15">
      <c r="A8" s="49" t="s">
        <v>16</v>
      </c>
      <c r="B8" s="23">
        <f>3.5%-2%</f>
        <v>0.015000000000000003</v>
      </c>
      <c r="C8" s="50">
        <f>ROUND(($C$5*B8),2)</f>
        <v>22.5</v>
      </c>
      <c r="D8" s="51" t="s">
        <v>5</v>
      </c>
      <c r="E8" s="52"/>
      <c r="F8" s="53">
        <f>ROUND(($C$5*B8),2)</f>
        <v>22.5</v>
      </c>
      <c r="G8" t="s">
        <v>8</v>
      </c>
    </row>
    <row r="9" spans="1:9" ht="15">
      <c r="A9" s="54" t="s">
        <v>15</v>
      </c>
      <c r="B9" s="31">
        <v>0.0245</v>
      </c>
      <c r="C9" s="50">
        <f>ROUND(($C$5*B9),2)</f>
        <v>36.75</v>
      </c>
      <c r="D9" s="51" t="s">
        <v>5</v>
      </c>
      <c r="E9" s="52"/>
      <c r="F9" s="53">
        <f>ROUND(($C$5*B9),2)</f>
        <v>36.75</v>
      </c>
      <c r="G9" t="s">
        <v>8</v>
      </c>
      <c r="I9" s="47"/>
    </row>
    <row r="10" spans="1:6" ht="15">
      <c r="A10" s="49" t="s">
        <v>1</v>
      </c>
      <c r="B10" s="23"/>
      <c r="C10" s="50">
        <f>SUM($C5-C7-C8-C9)</f>
        <v>1294.35</v>
      </c>
      <c r="D10" s="51"/>
      <c r="E10" s="52"/>
      <c r="F10" s="53">
        <f>SUM($C5-F7-F8-F9)</f>
        <v>1294.35</v>
      </c>
    </row>
    <row r="11" spans="1:7" ht="15">
      <c r="A11" s="54" t="s">
        <v>33</v>
      </c>
      <c r="B11" s="55">
        <v>111.25</v>
      </c>
      <c r="C11" s="50">
        <f>B11</f>
        <v>111.25</v>
      </c>
      <c r="D11" s="56"/>
      <c r="E11" s="52"/>
      <c r="F11" s="53">
        <f>ROUND(B11*1.25,2)</f>
        <v>139.06</v>
      </c>
      <c r="G11" s="5"/>
    </row>
    <row r="12" spans="1:6" ht="15">
      <c r="A12" s="22" t="s">
        <v>2</v>
      </c>
      <c r="B12" s="23"/>
      <c r="C12" s="21">
        <f>ROUND(IF((C10-C11)&gt;0,(C10-C11),0),0)</f>
        <v>1183</v>
      </c>
      <c r="F12" s="2">
        <f>ROUND(IF((F10-F11)&gt;0,(F10-F11),0),0)</f>
        <v>1155</v>
      </c>
    </row>
    <row r="13" spans="1:6" ht="16.5">
      <c r="A13" s="54" t="s">
        <v>38</v>
      </c>
      <c r="B13" s="31">
        <v>0.18</v>
      </c>
      <c r="C13" s="50">
        <f>SUM(C12*B13)</f>
        <v>212.94</v>
      </c>
      <c r="D13" s="51"/>
      <c r="E13" s="52"/>
      <c r="F13" s="53">
        <f>SUM(F12*B13)</f>
        <v>207.9</v>
      </c>
    </row>
    <row r="14" spans="1:9" ht="15">
      <c r="A14" s="49" t="s">
        <v>18</v>
      </c>
      <c r="B14" s="57">
        <v>46.33</v>
      </c>
      <c r="C14" s="50">
        <f>B14</f>
        <v>46.33</v>
      </c>
      <c r="D14" s="51"/>
      <c r="E14" s="52"/>
      <c r="F14" s="53">
        <f>B14</f>
        <v>46.33</v>
      </c>
      <c r="I14" s="47"/>
    </row>
    <row r="15" spans="1:9" ht="15">
      <c r="A15" s="30" t="s">
        <v>3</v>
      </c>
      <c r="B15" s="31"/>
      <c r="C15" s="4">
        <f>IF(C14&lt;C13,C13-C14,0)</f>
        <v>166.61</v>
      </c>
      <c r="D15" s="36"/>
      <c r="E15" s="37"/>
      <c r="F15" s="4">
        <f>IF(F14&lt;F13,F13-F14,0)</f>
        <v>161.57</v>
      </c>
      <c r="I15" s="47"/>
    </row>
    <row r="16" spans="1:7" ht="15" hidden="1">
      <c r="A16" s="41" t="s">
        <v>13</v>
      </c>
      <c r="B16" s="42">
        <v>0.09</v>
      </c>
      <c r="C16" s="43">
        <f>ROUND(C10*$B16,2)</f>
        <v>116.49</v>
      </c>
      <c r="D16" s="44"/>
      <c r="E16" s="45"/>
      <c r="F16" s="46">
        <f>ROUND(F10*$B16,2)</f>
        <v>116.49</v>
      </c>
      <c r="G16" t="s">
        <v>8</v>
      </c>
    </row>
    <row r="17" spans="1:9" ht="15.75">
      <c r="A17" s="28" t="s">
        <v>23</v>
      </c>
      <c r="B17" s="23">
        <v>0.09</v>
      </c>
      <c r="C17" s="25">
        <f>IF(C16&gt;C15,C15,C16)</f>
        <v>116.49</v>
      </c>
      <c r="D17" s="34" t="s">
        <v>5</v>
      </c>
      <c r="E17" s="35"/>
      <c r="F17" s="1">
        <f>IF(F16&gt;F15,F15,F16)</f>
        <v>116.49</v>
      </c>
      <c r="I17" s="47"/>
    </row>
    <row r="18" spans="1:6" ht="15.75" hidden="1">
      <c r="A18" s="30" t="s">
        <v>22</v>
      </c>
      <c r="B18" s="31">
        <v>0.0775</v>
      </c>
      <c r="C18" s="21">
        <f>SUM(C10*$B19)</f>
        <v>100.312125</v>
      </c>
      <c r="D18" s="34"/>
      <c r="E18" s="35"/>
      <c r="F18" s="2">
        <f>SUM(F10*$B19)</f>
        <v>100.312125</v>
      </c>
    </row>
    <row r="19" spans="1:6" ht="15">
      <c r="A19" s="30" t="s">
        <v>14</v>
      </c>
      <c r="B19" s="31">
        <v>0.0775</v>
      </c>
      <c r="C19" s="24">
        <f>IF(C18&lt;C15,C18,C15)</f>
        <v>100.312125</v>
      </c>
      <c r="D19" s="36"/>
      <c r="E19" s="37"/>
      <c r="F19" s="4">
        <f>IF(F18&lt;F15,F18,F15)</f>
        <v>100.312125</v>
      </c>
    </row>
    <row r="20" spans="1:6" ht="17.25">
      <c r="A20" s="28" t="s">
        <v>28</v>
      </c>
      <c r="B20" s="23"/>
      <c r="C20" s="25">
        <f>ROUND((C15-C19),0)</f>
        <v>66</v>
      </c>
      <c r="D20" s="34"/>
      <c r="E20" s="35"/>
      <c r="F20" s="1">
        <f>ROUND((F15-F19),0)</f>
        <v>61</v>
      </c>
    </row>
    <row r="21" spans="1:6" ht="15.75">
      <c r="A21" s="28" t="s">
        <v>4</v>
      </c>
      <c r="B21" s="29"/>
      <c r="C21" s="25">
        <f>SUM($C5-C7-C8-C9-C17-C20)</f>
        <v>1111.86</v>
      </c>
      <c r="F21" s="1">
        <f>SUM($C5-F7-F8-F9-F17-F20)</f>
        <v>1116.86</v>
      </c>
    </row>
    <row r="22" spans="1:2" ht="15">
      <c r="A22" s="3" t="s">
        <v>12</v>
      </c>
      <c r="B22" s="17"/>
    </row>
    <row r="23" spans="1:7" ht="15">
      <c r="A23" s="22" t="s">
        <v>19</v>
      </c>
      <c r="B23" s="23">
        <v>0.0976</v>
      </c>
      <c r="C23" s="21">
        <f>ROUND(($C$5*B23),2)</f>
        <v>146.4</v>
      </c>
      <c r="D23" t="s">
        <v>5</v>
      </c>
      <c r="F23" s="2">
        <f>ROUND(($C$5*B23),2)</f>
        <v>146.4</v>
      </c>
      <c r="G23" t="s">
        <v>8</v>
      </c>
    </row>
    <row r="24" spans="1:7" ht="15">
      <c r="A24" s="54" t="s">
        <v>16</v>
      </c>
      <c r="B24" s="31">
        <f>6.5%-2%</f>
        <v>0.045</v>
      </c>
      <c r="C24" s="50">
        <f>ROUND(($C$5*B24),2)</f>
        <v>67.5</v>
      </c>
      <c r="D24" s="51" t="s">
        <v>5</v>
      </c>
      <c r="E24" s="52"/>
      <c r="F24" s="53">
        <f>ROUND(($C$5*B24),2)</f>
        <v>67.5</v>
      </c>
      <c r="G24" t="s">
        <v>8</v>
      </c>
    </row>
    <row r="25" spans="1:7" ht="16.5">
      <c r="A25" s="22" t="s">
        <v>24</v>
      </c>
      <c r="B25" s="23">
        <v>0.0167</v>
      </c>
      <c r="C25" s="21">
        <f>ROUND(($C$5*B25),2)</f>
        <v>25.05</v>
      </c>
      <c r="D25" t="s">
        <v>5</v>
      </c>
      <c r="F25" s="2">
        <f>ROUND(($C$5*B25),2)</f>
        <v>25.05</v>
      </c>
      <c r="G25" t="s">
        <v>8</v>
      </c>
    </row>
    <row r="26" spans="1:7" ht="15">
      <c r="A26" s="30" t="s">
        <v>20</v>
      </c>
      <c r="B26" s="31">
        <v>0.0245</v>
      </c>
      <c r="C26" s="21">
        <f>ROUND(($C$5*B26),2)</f>
        <v>36.75</v>
      </c>
      <c r="D26" t="s">
        <v>5</v>
      </c>
      <c r="F26" s="2">
        <f>ROUND(($C$5*B26),2)</f>
        <v>36.75</v>
      </c>
      <c r="G26" t="s">
        <v>8</v>
      </c>
    </row>
    <row r="27" spans="1:7" ht="16.5">
      <c r="A27" s="22" t="s">
        <v>31</v>
      </c>
      <c r="B27" s="23">
        <v>0</v>
      </c>
      <c r="C27" s="21">
        <f>ROUND(($C$5*B27),2)</f>
        <v>0</v>
      </c>
      <c r="D27" t="s">
        <v>5</v>
      </c>
      <c r="F27" s="2">
        <f>ROUND(($C$5*B27),2)</f>
        <v>0</v>
      </c>
      <c r="G27" t="s">
        <v>8</v>
      </c>
    </row>
    <row r="29" spans="1:7" ht="15">
      <c r="A29" t="s">
        <v>6</v>
      </c>
      <c r="C29" s="11">
        <f>SUMIF(D7:D27,D29,C7:C27)</f>
        <v>597.8399999999999</v>
      </c>
      <c r="D29" t="s">
        <v>5</v>
      </c>
      <c r="F29" s="11">
        <f>SUMIF(G7:G27,G29,F7:F27)</f>
        <v>597.8399999999999</v>
      </c>
      <c r="G29" t="s">
        <v>8</v>
      </c>
    </row>
    <row r="30" spans="1:6" ht="15">
      <c r="A30" t="s">
        <v>30</v>
      </c>
      <c r="C30" s="39"/>
      <c r="F30" s="40"/>
    </row>
    <row r="31" spans="1:6" ht="15">
      <c r="A31" t="s">
        <v>29</v>
      </c>
      <c r="C31" s="11">
        <f>C7+C8+C9+C17</f>
        <v>322.14</v>
      </c>
      <c r="F31" s="11">
        <f>F7+F8+F9+F17</f>
        <v>322.14</v>
      </c>
    </row>
    <row r="32" spans="1:6" ht="15">
      <c r="A32" t="s">
        <v>37</v>
      </c>
      <c r="C32" s="11">
        <f>C23+C24+C25+C26+C27</f>
        <v>275.70000000000005</v>
      </c>
      <c r="F32" s="11">
        <f>F23+F24+F25+F26+F27</f>
        <v>275.70000000000005</v>
      </c>
    </row>
    <row r="34" spans="1:6" ht="15.75">
      <c r="A34" t="s">
        <v>7</v>
      </c>
      <c r="C34" s="12">
        <f>SUM(C5+C23+C24+C25+C26+C27)</f>
        <v>1775.7</v>
      </c>
      <c r="F34" s="12">
        <f>SUM(C5+F23+F24+F25+F26+F27)</f>
        <v>1775.7</v>
      </c>
    </row>
    <row r="35" spans="3:6" ht="15.75">
      <c r="C35" s="14"/>
      <c r="D35" s="15"/>
      <c r="E35" s="7"/>
      <c r="F35" s="14"/>
    </row>
    <row r="36" spans="3:6" ht="15.75">
      <c r="C36" s="14"/>
      <c r="D36" s="15"/>
      <c r="E36" s="7"/>
      <c r="F36" s="14"/>
    </row>
    <row r="37" spans="1:6" ht="15.75">
      <c r="A37" s="13"/>
      <c r="C37" s="14"/>
      <c r="D37" s="15"/>
      <c r="E37" s="7"/>
      <c r="F37" s="14"/>
    </row>
    <row r="38" spans="1:2" ht="15">
      <c r="A38" s="32" t="s">
        <v>25</v>
      </c>
      <c r="B38" s="19"/>
    </row>
    <row r="39" spans="1:2" ht="15">
      <c r="A39" s="32" t="s">
        <v>35</v>
      </c>
      <c r="B39" s="20"/>
    </row>
    <row r="40" spans="1:2" ht="15">
      <c r="A40" s="32" t="s">
        <v>34</v>
      </c>
      <c r="B40" s="20"/>
    </row>
    <row r="41" ht="15">
      <c r="A41" s="38" t="s">
        <v>36</v>
      </c>
    </row>
    <row r="42" ht="15">
      <c r="A42" s="38" t="s">
        <v>27</v>
      </c>
    </row>
    <row r="43" ht="13.5" customHeight="1">
      <c r="A43" s="38" t="s">
        <v>32</v>
      </c>
    </row>
    <row r="44" ht="13.5" customHeight="1">
      <c r="A44" s="38" t="s">
        <v>26</v>
      </c>
    </row>
    <row r="45" ht="15">
      <c r="A45" s="48"/>
    </row>
    <row r="46" ht="15">
      <c r="A46" s="38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KLON\JAWOR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Rafał Kowalski</cp:lastModifiedBy>
  <cp:lastPrinted>2008-01-03T09:28:47Z</cp:lastPrinted>
  <dcterms:created xsi:type="dcterms:W3CDTF">2001-04-30T09:37:57Z</dcterms:created>
  <dcterms:modified xsi:type="dcterms:W3CDTF">2019-11-06T09:06:03Z</dcterms:modified>
  <cp:category/>
  <cp:version/>
  <cp:contentType/>
  <cp:contentStatus/>
</cp:coreProperties>
</file>